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52B413DB-416B-A148-0A32-6202AF4EA3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hrislagowski/Downloads/"/>
    </mc:Choice>
  </mc:AlternateContent>
  <xr:revisionPtr revIDLastSave="0" documentId="13_ncr:1_{AE57B211-A832-DB47-A906-F4C9CAB4C6F0}" xr6:coauthVersionLast="47" xr6:coauthVersionMax="47" xr10:uidLastSave="{00000000-0000-0000-0000-000000000000}"/>
  <workbookProtection workbookAlgorithmName="SHA-512" workbookHashValue="jw2DrpOzg+bBcMkn7Bl5+trdwHYicQ1lcb/kfodVXohjQfpvWTdNuzUAlkFptfDQ+BCRIcjKFUGrMx5wtcsOLQ==" workbookSaltValue="O+5SFrirUWlxmBPehQPkMQ==" workbookSpinCount="100000" lockStructure="1"/>
  <bookViews>
    <workbookView xWindow="4120" yWindow="640" windowWidth="23020" windowHeight="16720" tabRatio="771" activeTab="1" xr2:uid="{BF5CB3E8-408D-4CDF-9AED-AE3F28DDF411}"/>
  </bookViews>
  <sheets>
    <sheet name="Feed(WS)" sheetId="2" state="hidden" r:id="rId1"/>
    <sheet name="Closed End Seconds (FL)" sheetId="15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A71" i="2" a="1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0" i="15"/>
  <c r="V21" i="15"/>
  <c r="V18" i="15"/>
  <c r="V13" i="15"/>
  <c r="V11" i="15"/>
  <c r="V19" i="15"/>
  <c r="V17" i="15"/>
  <c r="V16" i="15"/>
  <c r="V15" i="15" a="1"/>
  <c r="V14" i="15"/>
  <c r="V12" i="15"/>
  <c r="V26" i="15"/>
  <c r="V35" i="15"/>
  <c r="U36" i="15"/>
  <c r="V34" i="15"/>
  <c r="W33" i="15" a="1"/>
  <c r="E147" i="2"/>
  <c r="E143" i="2"/>
  <c r="B48" i="2" s="1"/>
  <c r="I121" i="2" l="1"/>
  <c r="I118" i="2"/>
  <c r="I116" i="2"/>
  <c r="I114" i="2"/>
  <c r="I112" i="2"/>
  <c r="I108" i="2"/>
  <c r="I106" i="2"/>
  <c r="I104" i="2"/>
  <c r="I102" i="2"/>
  <c r="I100" i="2"/>
  <c r="I97" i="2"/>
  <c r="I96" i="2"/>
  <c r="I94" i="2"/>
  <c r="I92" i="2"/>
  <c r="I90" i="2"/>
  <c r="I88" i="2"/>
  <c r="I85" i="2"/>
  <c r="I83" i="2"/>
  <c r="I120" i="2"/>
  <c r="I119" i="2"/>
  <c r="I117" i="2"/>
  <c r="I115" i="2"/>
  <c r="I113" i="2"/>
  <c r="I111" i="2"/>
  <c r="I110" i="2"/>
  <c r="I107" i="2"/>
  <c r="I105" i="2"/>
  <c r="I103" i="2"/>
  <c r="I101" i="2"/>
  <c r="I99" i="2"/>
  <c r="I98" i="2"/>
  <c r="I95" i="2"/>
  <c r="I93" i="2"/>
  <c r="I91" i="2"/>
  <c r="I89" i="2"/>
  <c r="I87" i="2"/>
  <c r="I86" i="2"/>
  <c r="I84" i="2"/>
  <c r="I82" i="2"/>
  <c r="V25" i="15"/>
  <c r="V28" i="15"/>
  <c r="I109" i="2"/>
  <c r="U26" i="15"/>
  <c r="S26" i="15"/>
  <c r="B64" i="2"/>
  <c r="G82" i="2" s="1"/>
  <c r="N82" i="2" l="1" a="1"/>
  <c r="W13" i="15"/>
  <c r="L95" i="2" l="1"/>
  <c r="L118" i="2"/>
  <c r="K115" i="2"/>
  <c r="L108" i="2"/>
  <c r="J85" i="2"/>
  <c r="J93" i="2"/>
  <c r="J101" i="2"/>
  <c r="J109" i="2"/>
  <c r="J117" i="2"/>
  <c r="K85" i="2"/>
  <c r="K93" i="2"/>
  <c r="K108" i="2"/>
  <c r="L100" i="2"/>
  <c r="L85" i="2"/>
  <c r="L91" i="2"/>
  <c r="J94" i="2"/>
  <c r="J110" i="2"/>
  <c r="K94" i="2"/>
  <c r="L86" i="2"/>
  <c r="J103" i="2"/>
  <c r="K95" i="2"/>
  <c r="L105" i="2"/>
  <c r="K106" i="2"/>
  <c r="L115" i="2"/>
  <c r="J112" i="2"/>
  <c r="K117" i="2"/>
  <c r="K104" i="2"/>
  <c r="L96" i="2"/>
  <c r="J97" i="2"/>
  <c r="J121" i="2"/>
  <c r="L113" i="2"/>
  <c r="J82" i="2"/>
  <c r="K90" i="2"/>
  <c r="K100" i="2"/>
  <c r="L98" i="2"/>
  <c r="L121" i="2"/>
  <c r="K118" i="2"/>
  <c r="L111" i="2"/>
  <c r="J86" i="2"/>
  <c r="J102" i="2"/>
  <c r="J118" i="2"/>
  <c r="K86" i="2"/>
  <c r="K111" i="2"/>
  <c r="L102" i="2"/>
  <c r="L90" i="2"/>
  <c r="K101" i="2"/>
  <c r="J96" i="2"/>
  <c r="K88" i="2"/>
  <c r="L109" i="2"/>
  <c r="L107" i="2"/>
  <c r="L119" i="2"/>
  <c r="J105" i="2"/>
  <c r="K97" i="2"/>
  <c r="L88" i="2"/>
  <c r="L110" i="2"/>
  <c r="J90" i="2"/>
  <c r="J114" i="2"/>
  <c r="K99" i="2"/>
  <c r="L83" i="2"/>
  <c r="K103" i="2"/>
  <c r="L101" i="2"/>
  <c r="K98" i="2"/>
  <c r="K121" i="2"/>
  <c r="L112" i="2"/>
  <c r="J87" i="2"/>
  <c r="J95" i="2"/>
  <c r="J111" i="2"/>
  <c r="J119" i="2"/>
  <c r="K87" i="2"/>
  <c r="K114" i="2"/>
  <c r="L104" i="2"/>
  <c r="L93" i="2"/>
  <c r="J88" i="2"/>
  <c r="J104" i="2"/>
  <c r="J120" i="2"/>
  <c r="K96" i="2"/>
  <c r="L84" i="2"/>
  <c r="K109" i="2"/>
  <c r="J89" i="2"/>
  <c r="J113" i="2"/>
  <c r="K119" i="2"/>
  <c r="L99" i="2"/>
  <c r="K82" i="2"/>
  <c r="L116" i="2"/>
  <c r="L82" i="2"/>
  <c r="J106" i="2"/>
  <c r="K116" i="2"/>
  <c r="L103" i="2"/>
  <c r="J91" i="2"/>
  <c r="J107" i="2"/>
  <c r="K91" i="2"/>
  <c r="K89" i="2"/>
  <c r="J98" i="2"/>
  <c r="J115" i="2"/>
  <c r="K112" i="2"/>
  <c r="L114" i="2"/>
  <c r="J83" i="2"/>
  <c r="J99" i="2"/>
  <c r="K83" i="2"/>
  <c r="L120" i="2"/>
  <c r="K110" i="2"/>
  <c r="K102" i="2"/>
  <c r="K120" i="2"/>
  <c r="L117" i="2"/>
  <c r="K113" i="2"/>
  <c r="L106" i="2"/>
  <c r="J84" i="2"/>
  <c r="J92" i="2"/>
  <c r="J100" i="2"/>
  <c r="J108" i="2"/>
  <c r="J116" i="2"/>
  <c r="K84" i="2"/>
  <c r="K92" i="2"/>
  <c r="K105" i="2"/>
  <c r="L97" i="2"/>
  <c r="L87" i="2"/>
  <c r="L89" i="2"/>
  <c r="K107" i="2"/>
  <c r="L92" i="2"/>
  <c r="L94" i="2"/>
  <c r="V27" i="15" l="1"/>
  <c r="E136" i="2"/>
  <c r="V30" i="15"/>
  <c r="J133" i="2"/>
  <c r="K133" i="2"/>
  <c r="L133" i="2"/>
  <c r="N135" i="2"/>
  <c r="L137" i="2"/>
  <c r="K137" i="2" s="1"/>
  <c r="V29" i="15" s="1"/>
  <c r="J131" i="2"/>
  <c r="K131" i="2"/>
  <c r="L131" i="2"/>
  <c r="N133" i="2"/>
  <c r="K129" i="2" a="1"/>
  <c r="J129" i="2" a="1"/>
  <c r="L129" i="2" a="1"/>
  <c r="K130" i="2" l="1"/>
  <c r="K132" i="2"/>
  <c r="L132" i="2"/>
  <c r="L130" i="2"/>
  <c r="J130" i="2"/>
  <c r="J132" i="2"/>
  <c r="V31" i="15"/>
  <c r="U37" i="15" l="1"/>
  <c r="G8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<sst xmlns="http://schemas.openxmlformats.org/spreadsheetml/2006/main" count="576" uniqueCount="366">
  <si>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</si>
  <si>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</si>
  <si>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</si>
  <si>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</si>
  <si>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</si>
  <si>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</si>
  <si>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</si>
  <si>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</si>
  <si>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</si>
  <si>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</si>
  <si>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</si>
  <si>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</si>
  <si>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</si>
  <si>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</si>
  <si>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</si>
  <si>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</si>
  <si>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</si>
  <si>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</si>
  <si>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</si>
  <si>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</si>
  <si>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</si>
  <si>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</si>
  <si>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</si>
  <si>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</si>
  <si>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</si>
  <si>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</si>
  <si>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</si>
  <si>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</si>
  <si>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</si>
  <si>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</si>
  <si>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</si>
  <si>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</si>
  <si>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</si>
  <si>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</si>
  <si>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</si>
  <si>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</si>
  <si>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</si>
  <si>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</si>
  <si>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</si>
  <si>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</si>
  <si>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</si>
  <si>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</si>
  <si>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</si>
  <si>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</si>
  <si>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</si>
  <si>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</si>
  <si>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</si>
  <si>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</si>
  <si>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</si>
  <si>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</si>
  <si>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</si>
  <si>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</si>
  <si>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</si>
  <si>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</si>
  <si>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</si>
  <si>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</si>
  <si>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</si>
  <si>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</si>
  <si>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</si>
  <si>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</si>
  <si>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</si>
  <si>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</si>
  <si>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</si>
  <si>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</si>
  <si>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</si>
  <si>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</si>
  <si>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</si>
  <si>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</si>
  <si>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</si>
  <si>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</si>
  <si>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</si>
  <si>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</si>
  <si>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</si>
  <si>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</si>
  <si>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</si>
  <si>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</si>
  <si>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</si>
  <si>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</si>
  <si>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</si>
  <si>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</si>
  <si>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</si>
  <si>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</si>
  <si>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</si>
  <si>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</si>
  <si>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</si>
  <si>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</si>
  <si>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</si>
  <si>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</si>
  <si>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</si>
  <si>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</si>
  <si>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</si>
  <si>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</si>
  <si>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</si>
  <si>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</si>
  <si>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</si>
  <si>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</si>
  <si>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</si>
  <si>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</si>
  <si>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</si>
  <si>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</si>
  <si>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</si>
  <si>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</si>
  <si>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</si>
  <si>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</si>
  <si>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</si>
  <si>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</si>
  <si>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</si>
  <si>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</si>
  <si>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</si>
  <si>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</si>
  <si>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</si>
  <si>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</si>
  <si>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</si>
  <si>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</si>
  <si>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</si>
  <si>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</si>
  <si>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</si>
  <si>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</si>
  <si>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</si>
  <si>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</si>
  <si>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</si>
  <si>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</si>
  <si>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</si>
  <si>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</si>
  <si>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</si>
  <si>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</si>
  <si>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</si>
  <si>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</si>
  <si>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</si>
  <si>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</si>
  <si>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</si>
  <si>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</si>
  <si>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</si>
  <si>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</si>
  <si>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</si>
  <si>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</si>
  <si>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</si>
  <si>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</si>
  <si>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</si>
  <si>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</si>
  <si>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</si>
  <si>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</si>
  <si>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</si>
  <si>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</si>
  <si>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</si>
  <si>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</si>
  <si>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</si>
  <si>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</si>
  <si>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</si>
  <si>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</si>
  <si>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</si>
  <si>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</si>
  <si>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</si>
  <si>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</si>
  <si>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</si>
  <si>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</si>
  <si>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</si>
  <si>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</si>
  <si>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</si>
  <si>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</si>
  <si>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</si>
  <si>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</si>
  <si>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</si>
  <si>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</si>
  <si>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</si>
  <si>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</si>
  <si>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</si>
  <si>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</si>
  <si>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</si>
  <si>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</si>
  <si>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</si>
  <si>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</si>
  <si>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</si>
  <si>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</si>
  <si>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</si>
  <si>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</si>
  <si>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</si>
  <si>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</si>
  <si>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</si>
  <si>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</si>
  <si>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</si>
  <si>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</si>
  <si>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</si>
  <si>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</si>
  <si>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</si>
  <si>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</si>
  <si>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</si>
  <si>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</si>
  <si>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</si>
  <si>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</si>
  <si>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</si>
  <si>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</si>
  <si>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</si>
  <si>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</si>
  <si>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</si>
  <si>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</si>
  <si>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</si>
  <si>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</si>
  <si>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</si>
  <si>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</si>
  <si>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</si>
  <si>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</si>
  <si>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</si>
  <si>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</si>
  <si>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</si>
  <si>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</si>
  <si>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</si>
  <si>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</si>
  <si>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</si>
  <si>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</si>
  <si>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</si>
  <si>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</si>
  <si>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</si>
  <si>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</si>
  <si>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</si>
  <si>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</si>
  <si>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</si>
  <si>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</si>
  <si>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</si>
  <si>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</si>
  <si>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</si>
  <si>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</si>
  <si>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</si>
  <si>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</si>
  <si>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</si>
  <si>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</si>
  <si>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</si>
  <si>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</si>
  <si>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</si>
  <si>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</si>
  <si>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</si>
  <si>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</si>
  <si>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</si>
  <si>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</si>
  <si>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</si>
  <si>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</si>
  <si>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</si>
  <si>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</si>
  <si>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</si>
  <si>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</si>
  <si>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</si>
  <si>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</si>
  <si>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</si>
  <si>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</si>
  <si>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</si>
  <si>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</si>
  <si>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</si>
  <si>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</si>
  <si>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</si>
  <si>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</si>
  <si>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</si>
  <si>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</si>
  <si>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</si>
  <si>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</si>
  <si>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</si>
  <si>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</si>
  <si>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</si>
  <si>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</si>
  <si>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</si>
  <si>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</si>
  <si>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</si>
  <si>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</si>
  <si>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</si>
  <si>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</si>
  <si>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</si>
  <si>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</si>
  <si>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</si>
  <si>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</si>
  <si>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</si>
  <si>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</si>
  <si>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</si>
  <si>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</si>
  <si>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</si>
  <si>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</si>
  <si>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</si>
  <si>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</si>
  <si>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</si>
  <si>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</si>
  <si>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</si>
  <si>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</si>
  <si>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</si>
  <si>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</si>
  <si>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</si>
  <si>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</si>
  <si>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</si>
  <si>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</si>
  <si>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</si>
  <si>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</si>
  <si>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</si>
  <si>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</si>
  <si>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</si>
  <si>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</si>
  <si>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</si>
  <si>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</si>
  <si>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</si>
  <si>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</si>
  <si>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</si>
  <si>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</si>
  <si>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</si>
  <si>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</si>
  <si>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</si>
  <si>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</si>
  <si>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</si>
  <si>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</si>
  <si>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</si>
  <si>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</si>
  <si>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</si>
  <si>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</si>
  <si>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</si>
  <si>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</si>
  <si>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</si>
  <si>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</si>
  <si>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</si>
  <si>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</si>
  <si>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</si>
  <si>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</si>
  <si>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</si>
  <si>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</si>
  <si>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</si>
  <si>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</si>
  <si>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</si>
  <si>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</si>
  <si>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</si>
  <si>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</si>
  <si>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</si>
  <si>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</si>
  <si>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</si>
  <si>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</si>
  <si>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</si>
  <si>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</si>
  <si>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</si>
  <si>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</si>
  <si>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</si>
  <si>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</si>
  <si>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</si>
  <si>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</si>
  <si>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</si>
  <si>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</si>
  <si>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</si>
  <si>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</si>
  <si>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</si>
  <si>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</si>
  <si>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</si>
  <si>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</si>
  <si>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</si>
  <si>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</si>
  <si>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</si>
  <si>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</si>
  <si>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</si>
  <si>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</si>
  <si>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</si>
  <si>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</si>
  <si>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</si>
  <si>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</si>
  <si>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</si>
  <si>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</si>
  <si>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</si>
  <si>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r>
      <t xml:space="preserve">Extension Cost
2 bps / day
Current lock extension costs/policies apply to all active locks, regardless of lock date.
All 45 day locks are at a 25 bp cost and are not eligible for lock extensions
</t>
    </r>
    <r>
      <rPr>
        <b/>
        <sz val="9"/>
        <rFont val="Aptos Narrow"/>
        <family val="2"/>
      </rPr>
      <t xml:space="preserve">The maximum available lock period, including extensions is 45 days </t>
    </r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</si>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</sst>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#,##0.000_);\(#,##0.000\)"/>
  </numFmts>
  <fonts count="10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sz val="11"/>
      <color rgb="FF003366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9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98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1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3" fillId="0" borderId="0" xfId="0" applyFont="1" applyAlignment="1" applyProtection="1">
      <alignment vertical="center"/>
      <protection hidden="1"/>
    </xf>
    <xf numFmtId="0" fontId="39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9" fillId="0" borderId="0" xfId="0" applyFont="1" applyAlignment="1" applyProtection="1">
      <alignment horizontal="center"/>
      <protection hidden="1"/>
    </xf>
    <xf numFmtId="165" fontId="43" fillId="0" borderId="9" xfId="0" applyNumberFormat="1" applyFont="1" applyBorder="1" applyAlignment="1" applyProtection="1">
      <alignment horizontal="center" vertical="top"/>
      <protection hidden="1"/>
    </xf>
    <xf numFmtId="165" fontId="39" fillId="0" borderId="16" xfId="0" applyNumberFormat="1" applyFont="1" applyBorder="1" applyAlignment="1" applyProtection="1">
      <alignment horizontal="center"/>
      <protection hidden="1"/>
    </xf>
    <xf numFmtId="0" fontId="43" fillId="0" borderId="10" xfId="0" applyFont="1" applyBorder="1" applyAlignment="1" applyProtection="1">
      <alignment horizontal="center" vertical="top"/>
      <protection hidden="1"/>
    </xf>
    <xf numFmtId="165" fontId="39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4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49" fillId="0" borderId="0" xfId="0" applyFont="1" applyAlignment="1">
      <alignment vertical="center" wrapText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5" fillId="0" borderId="0" xfId="0" applyFont="1" applyAlignment="1" applyProtection="1">
      <alignment horizontal="right" vertical="top"/>
      <protection hidden="1"/>
    </xf>
    <xf numFmtId="167" fontId="40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7" fillId="0" borderId="0" xfId="0" applyFont="1" applyProtection="1">
      <protection hidden="1"/>
    </xf>
    <xf numFmtId="0" fontId="57" fillId="0" borderId="0" xfId="0" applyFont="1"/>
    <xf numFmtId="0" fontId="47" fillId="0" borderId="0" xfId="2" applyFont="1" applyAlignment="1" applyProtection="1">
      <alignment vertical="center"/>
      <protection hidden="1"/>
    </xf>
    <xf numFmtId="0" fontId="66" fillId="8" borderId="54" xfId="0" applyFont="1" applyFill="1" applyBorder="1" applyAlignment="1" applyProtection="1">
      <alignment horizontal="center" vertical="top"/>
      <protection locked="0" hidden="1"/>
    </xf>
    <xf numFmtId="171" fontId="66" fillId="8" borderId="54" xfId="0" applyNumberFormat="1" applyFont="1" applyFill="1" applyBorder="1" applyAlignment="1" applyProtection="1">
      <alignment horizontal="center" vertical="top"/>
      <protection locked="0" hidden="1"/>
    </xf>
    <xf numFmtId="0" fontId="66" fillId="8" borderId="79" xfId="0" applyFont="1" applyFill="1" applyBorder="1" applyAlignment="1" applyProtection="1">
      <alignment horizontal="center" vertical="top"/>
      <protection locked="0" hidden="1"/>
    </xf>
    <xf numFmtId="0" fontId="66" fillId="8" borderId="87" xfId="0" applyFont="1" applyFill="1" applyBorder="1" applyAlignment="1" applyProtection="1">
      <alignment horizontal="center" vertical="top"/>
      <protection hidden="1"/>
    </xf>
    <xf numFmtId="164" fontId="59" fillId="0" borderId="60" xfId="1" applyNumberFormat="1" applyFont="1" applyFill="1" applyBorder="1" applyAlignment="1" applyProtection="1">
      <alignment horizontal="center" vertical="center"/>
      <protection hidden="1"/>
    </xf>
    <xf numFmtId="0" fontId="48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7" fillId="0" borderId="0" xfId="0" applyFont="1" applyAlignment="1" applyProtection="1">
      <alignment horizontal="right"/>
      <protection hidden="1"/>
    </xf>
    <xf numFmtId="0" fontId="71" fillId="0" borderId="0" xfId="0" applyFont="1" applyAlignment="1" applyProtection="1">
      <alignment horizontal="right" vertical="center"/>
      <protection hidden="1"/>
    </xf>
    <xf numFmtId="164" fontId="63" fillId="16" borderId="21" xfId="1" applyNumberFormat="1" applyFont="1" applyFill="1" applyBorder="1" applyAlignment="1" applyProtection="1">
      <alignment horizontal="center" vertical="center"/>
      <protection hidden="1"/>
    </xf>
    <xf numFmtId="164" fontId="63" fillId="16" borderId="86" xfId="1" applyNumberFormat="1" applyFont="1" applyFill="1" applyBorder="1" applyAlignment="1" applyProtection="1">
      <alignment horizontal="center" vertical="center"/>
      <protection hidden="1"/>
    </xf>
    <xf numFmtId="164" fontId="54" fillId="16" borderId="0" xfId="1" applyNumberFormat="1" applyFont="1" applyFill="1" applyBorder="1" applyAlignment="1" applyProtection="1">
      <alignment horizontal="center" vertical="center"/>
      <protection hidden="1"/>
    </xf>
    <xf numFmtId="0" fontId="60" fillId="4" borderId="17" xfId="0" applyFont="1" applyFill="1" applyBorder="1" applyAlignment="1" applyProtection="1">
      <alignment horizontal="center" vertical="top"/>
      <protection hidden="1"/>
    </xf>
    <xf numFmtId="164" fontId="54" fillId="16" borderId="15" xfId="1" applyNumberFormat="1" applyFont="1" applyFill="1" applyBorder="1" applyAlignment="1" applyProtection="1">
      <alignment horizontal="center" vertical="center"/>
      <protection hidden="1"/>
    </xf>
    <xf numFmtId="0" fontId="37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9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8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9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3" fillId="14" borderId="63" xfId="0" applyNumberFormat="1" applyFont="1" applyFill="1" applyBorder="1" applyAlignment="1" applyProtection="1">
      <alignment horizontal="center" vertical="center"/>
      <protection hidden="1"/>
    </xf>
    <xf numFmtId="165" fontId="61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9" fillId="0" borderId="60" xfId="0" applyNumberFormat="1" applyFont="1" applyBorder="1" applyAlignment="1" applyProtection="1">
      <alignment horizontal="center" vertical="top"/>
      <protection hidden="1"/>
    </xf>
    <xf numFmtId="165" fontId="59" fillId="0" borderId="56" xfId="0" applyNumberFormat="1" applyFont="1" applyBorder="1" applyAlignment="1" applyProtection="1">
      <alignment horizontal="center" vertical="top"/>
      <protection hidden="1"/>
    </xf>
    <xf numFmtId="166" fontId="59" fillId="0" borderId="56" xfId="0" applyNumberFormat="1" applyFont="1" applyBorder="1" applyAlignment="1" applyProtection="1">
      <alignment horizontal="center" vertical="top"/>
      <protection hidden="1"/>
    </xf>
    <xf numFmtId="0" fontId="59" fillId="18" borderId="60" xfId="0" applyFont="1" applyFill="1" applyBorder="1" applyAlignment="1" applyProtection="1">
      <alignment horizontal="center" vertical="center"/>
      <protection hidden="1"/>
    </xf>
    <xf numFmtId="0" fontId="57" fillId="16" borderId="17" xfId="0" applyFont="1" applyFill="1" applyBorder="1" applyProtection="1">
      <protection hidden="1"/>
    </xf>
    <xf numFmtId="166" fontId="59" fillId="0" borderId="63" xfId="0" applyNumberFormat="1" applyFont="1" applyBorder="1" applyAlignment="1" applyProtection="1">
      <alignment horizontal="center" vertical="top"/>
      <protection hidden="1"/>
    </xf>
    <xf numFmtId="164" fontId="63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3" fillId="16" borderId="72" xfId="1" applyNumberFormat="1" applyFont="1" applyFill="1" applyBorder="1" applyAlignment="1" applyProtection="1">
      <alignment horizontal="center" vertical="center"/>
      <protection hidden="1"/>
    </xf>
    <xf numFmtId="0" fontId="57" fillId="14" borderId="0" xfId="0" applyFont="1" applyFill="1"/>
    <xf numFmtId="0" fontId="57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3" fillId="14" borderId="72" xfId="1" applyNumberFormat="1" applyFont="1" applyFill="1" applyBorder="1" applyAlignment="1" applyProtection="1">
      <alignment horizontal="center" vertical="center"/>
      <protection hidden="1"/>
    </xf>
    <xf numFmtId="164" fontId="64" fillId="14" borderId="60" xfId="1" applyNumberFormat="1" applyFont="1" applyFill="1" applyBorder="1" applyAlignment="1" applyProtection="1">
      <alignment horizontal="center" vertical="center"/>
      <protection hidden="1"/>
    </xf>
    <xf numFmtId="0" fontId="59" fillId="16" borderId="15" xfId="0" applyFont="1" applyFill="1" applyBorder="1" applyProtection="1"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1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0" fontId="70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2" fillId="0" borderId="0" xfId="2" applyFont="1" applyAlignment="1" applyProtection="1">
      <alignment vertical="center"/>
      <protection hidden="1"/>
    </xf>
    <xf numFmtId="166" fontId="59" fillId="0" borderId="83" xfId="0" applyNumberFormat="1" applyFont="1" applyBorder="1" applyAlignment="1" applyProtection="1">
      <alignment horizontal="center" vertical="top"/>
      <protection hidden="1"/>
    </xf>
    <xf numFmtId="0" fontId="57" fillId="14" borderId="17" xfId="0" applyFont="1" applyFill="1" applyBorder="1"/>
    <xf numFmtId="0" fontId="57" fillId="14" borderId="7" xfId="0" applyFont="1" applyFill="1" applyBorder="1"/>
    <xf numFmtId="0" fontId="57" fillId="14" borderId="10" xfId="0" applyFont="1" applyFill="1" applyBorder="1"/>
    <xf numFmtId="0" fontId="62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60" fillId="4" borderId="0" xfId="0" applyFont="1" applyFill="1" applyAlignment="1" applyProtection="1">
      <alignment horizontal="center" vertical="top"/>
      <protection hidden="1"/>
    </xf>
    <xf numFmtId="0" fontId="57" fillId="16" borderId="0" xfId="0" applyFont="1" applyFill="1" applyProtection="1">
      <protection hidden="1"/>
    </xf>
    <xf numFmtId="0" fontId="57" fillId="16" borderId="15" xfId="0" applyFont="1" applyFill="1" applyBorder="1" applyProtection="1">
      <protection hidden="1"/>
    </xf>
    <xf numFmtId="0" fontId="59" fillId="16" borderId="0" xfId="0" applyFont="1" applyFill="1" applyProtection="1">
      <protection hidden="1"/>
    </xf>
    <xf numFmtId="0" fontId="57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7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7" fillId="14" borderId="15" xfId="0" applyFont="1" applyFill="1" applyBorder="1" applyProtection="1">
      <protection hidden="1"/>
    </xf>
    <xf numFmtId="0" fontId="57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8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2" fillId="14" borderId="15" xfId="0" applyFont="1" applyFill="1" applyBorder="1" applyAlignment="1" applyProtection="1">
      <alignment vertical="center"/>
      <protection hidden="1"/>
    </xf>
    <xf numFmtId="0" fontId="46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5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6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70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5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5" fillId="15" borderId="89" xfId="0" applyFont="1" applyFill="1" applyBorder="1" applyAlignment="1" applyProtection="1">
      <alignment vertical="center"/>
      <protection hidden="1"/>
    </xf>
    <xf numFmtId="0" fontId="57" fillId="15" borderId="88" xfId="0" applyFont="1" applyFill="1" applyBorder="1" applyProtection="1">
      <protection hidden="1"/>
    </xf>
    <xf numFmtId="0" fontId="57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2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1" fillId="5" borderId="0" xfId="0" applyFont="1" applyFill="1" applyProtection="1">
      <protection hidden="1"/>
    </xf>
    <xf numFmtId="0" fontId="92" fillId="5" borderId="0" xfId="0" applyFont="1" applyFill="1" applyAlignment="1" applyProtection="1">
      <alignment horizontal="left"/>
      <protection hidden="1"/>
    </xf>
    <xf numFmtId="0" fontId="93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1" fillId="5" borderId="0" xfId="0" applyFont="1" applyFill="1" applyProtection="1">
      <protection hidden="1"/>
    </xf>
    <xf numFmtId="0" fontId="94" fillId="20" borderId="2" xfId="0" applyFont="1" applyFill="1" applyBorder="1"/>
    <xf numFmtId="0" fontId="51" fillId="20" borderId="3" xfId="0" applyFont="1" applyFill="1" applyBorder="1" applyAlignment="1" applyProtection="1">
      <alignment horizontal="center"/>
      <protection hidden="1"/>
    </xf>
    <xf numFmtId="0" fontId="63" fillId="15" borderId="15" xfId="0" applyFont="1" applyFill="1" applyBorder="1" applyAlignment="1" applyProtection="1">
      <alignment vertical="center"/>
      <protection hidden="1"/>
    </xf>
    <xf numFmtId="173" fontId="57" fillId="0" borderId="60" xfId="1" applyNumberFormat="1" applyFont="1" applyBorder="1" applyAlignment="1" applyProtection="1">
      <alignment horizontal="center" vertical="center"/>
      <protection hidden="1"/>
    </xf>
    <xf numFmtId="173" fontId="57" fillId="0" borderId="92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8" fillId="0" borderId="96" xfId="0" applyFont="1" applyBorder="1" applyAlignment="1">
      <alignment horizontal="left" vertical="top" wrapText="1"/>
    </xf>
    <xf numFmtId="0" fontId="0" fillId="0" borderId="96" xfId="0" applyBorder="1" applyAlignment="1">
      <alignment horizontal="left" wrapText="1"/>
    </xf>
    <xf numFmtId="0" fontId="30" fillId="0" borderId="85" xfId="0" applyFont="1" applyBorder="1" applyAlignment="1" applyProtection="1">
      <alignment horizontal="center"/>
      <protection hidden="1"/>
    </xf>
    <xf numFmtId="0" fontId="35" fillId="0" borderId="5" xfId="1" applyNumberFormat="1" applyFont="1" applyBorder="1" applyAlignment="1" applyProtection="1">
      <alignment horizontal="center" vertical="center"/>
      <protection hidden="1"/>
    </xf>
    <xf numFmtId="0" fontId="35" fillId="0" borderId="9" xfId="1" applyNumberFormat="1" applyFont="1" applyBorder="1" applyAlignment="1" applyProtection="1">
      <alignment horizontal="center" vertical="center"/>
      <protection hidden="1"/>
    </xf>
    <xf numFmtId="0" fontId="35" fillId="0" borderId="16" xfId="1" applyNumberFormat="1" applyFont="1" applyBorder="1" applyAlignment="1" applyProtection="1">
      <alignment horizontal="center" vertical="center"/>
      <protection hidden="1"/>
    </xf>
    <xf numFmtId="165" fontId="35" fillId="0" borderId="17" xfId="1" applyNumberFormat="1" applyFont="1" applyBorder="1" applyAlignment="1" applyProtection="1">
      <alignment horizontal="center" vertical="center"/>
      <protection hidden="1"/>
    </xf>
    <xf numFmtId="165" fontId="35" fillId="0" borderId="0" xfId="1" applyNumberFormat="1" applyFont="1" applyBorder="1" applyAlignment="1" applyProtection="1">
      <alignment horizontal="center" vertical="center"/>
      <protection hidden="1"/>
    </xf>
    <xf numFmtId="0" fontId="35" fillId="0" borderId="15" xfId="1" applyNumberFormat="1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165" fontId="35" fillId="0" borderId="15" xfId="1" applyNumberFormat="1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5" fontId="1" fillId="0" borderId="10" xfId="0" applyNumberFormat="1" applyFont="1" applyBorder="1" applyAlignment="1" applyProtection="1">
      <alignment horizontal="center" vertical="center"/>
      <protection hidden="1"/>
    </xf>
    <xf numFmtId="165" fontId="1" fillId="0" borderId="18" xfId="0" applyNumberFormat="1" applyFont="1" applyBorder="1" applyAlignment="1" applyProtection="1">
      <alignment horizontal="center" vertical="center"/>
      <protection hidden="1"/>
    </xf>
    <xf numFmtId="0" fontId="59" fillId="18" borderId="57" xfId="0" applyFont="1" applyFill="1" applyBorder="1" applyAlignment="1" applyProtection="1">
      <alignment horizontal="center" vertical="center"/>
      <protection hidden="1"/>
    </xf>
    <xf numFmtId="0" fontId="59" fillId="18" borderId="60" xfId="0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0" fontId="62" fillId="15" borderId="5" xfId="2" applyFont="1" applyFill="1" applyBorder="1" applyAlignment="1" applyProtection="1">
      <alignment horizontal="center" vertical="center"/>
      <protection hidden="1"/>
    </xf>
    <xf numFmtId="0" fontId="62" fillId="15" borderId="9" xfId="2" applyFont="1" applyFill="1" applyBorder="1" applyAlignment="1" applyProtection="1">
      <alignment horizontal="center" vertical="center"/>
      <protection hidden="1"/>
    </xf>
    <xf numFmtId="0" fontId="62" fillId="15" borderId="16" xfId="2" applyFont="1" applyFill="1" applyBorder="1" applyAlignment="1" applyProtection="1">
      <alignment horizontal="center" vertical="center"/>
      <protection hidden="1"/>
    </xf>
    <xf numFmtId="0" fontId="62" fillId="15" borderId="7" xfId="2" applyFont="1" applyFill="1" applyBorder="1" applyAlignment="1" applyProtection="1">
      <alignment horizontal="center" vertical="center"/>
      <protection hidden="1"/>
    </xf>
    <xf numFmtId="0" fontId="62" fillId="15" borderId="10" xfId="2" applyFont="1" applyFill="1" applyBorder="1" applyAlignment="1" applyProtection="1">
      <alignment horizontal="center" vertical="center"/>
      <protection hidden="1"/>
    </xf>
    <xf numFmtId="0" fontId="62" fillId="15" borderId="18" xfId="2" applyFont="1" applyFill="1" applyBorder="1" applyAlignment="1" applyProtection="1">
      <alignment horizontal="center" vertical="center"/>
      <protection hidden="1"/>
    </xf>
    <xf numFmtId="0" fontId="56" fillId="15" borderId="0" xfId="2" applyFont="1" applyFill="1" applyAlignment="1" applyProtection="1">
      <alignment horizontal="center" vertical="center"/>
      <protection hidden="1"/>
    </xf>
    <xf numFmtId="165" fontId="53" fillId="14" borderId="7" xfId="0" applyNumberFormat="1" applyFont="1" applyFill="1" applyBorder="1" applyAlignment="1" applyProtection="1">
      <alignment horizontal="center" vertical="center"/>
      <protection hidden="1"/>
    </xf>
    <xf numFmtId="165" fontId="53" fillId="14" borderId="18" xfId="0" applyNumberFormat="1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61" fillId="17" borderId="57" xfId="0" quotePrefix="1" applyFont="1" applyFill="1" applyBorder="1" applyAlignment="1" applyProtection="1">
      <alignment horizontal="center" vertical="center"/>
      <protection hidden="1"/>
    </xf>
    <xf numFmtId="0" fontId="61" fillId="17" borderId="60" xfId="0" quotePrefix="1" applyFont="1" applyFill="1" applyBorder="1" applyAlignment="1" applyProtection="1">
      <alignment horizontal="center" vertical="center"/>
      <protection hidden="1"/>
    </xf>
    <xf numFmtId="0" fontId="61" fillId="17" borderId="61" xfId="0" quotePrefix="1" applyFont="1" applyFill="1" applyBorder="1" applyAlignment="1" applyProtection="1">
      <alignment horizontal="center" vertical="center"/>
      <protection hidden="1"/>
    </xf>
    <xf numFmtId="0" fontId="61" fillId="17" borderId="57" xfId="0" applyFont="1" applyFill="1" applyBorder="1" applyAlignment="1" applyProtection="1">
      <alignment horizontal="center" vertical="center"/>
      <protection hidden="1"/>
    </xf>
    <xf numFmtId="0" fontId="61" fillId="17" borderId="60" xfId="0" applyFont="1" applyFill="1" applyBorder="1" applyAlignment="1" applyProtection="1">
      <alignment horizontal="center" vertical="center"/>
      <protection hidden="1"/>
    </xf>
    <xf numFmtId="0" fontId="61" fillId="17" borderId="61" xfId="0" applyFont="1" applyFill="1" applyBorder="1" applyAlignment="1" applyProtection="1">
      <alignment horizontal="center" vertical="center"/>
      <protection hidden="1"/>
    </xf>
    <xf numFmtId="0" fontId="53" fillId="14" borderId="7" xfId="7" quotePrefix="1" applyFont="1" applyFill="1" applyBorder="1" applyAlignment="1" applyProtection="1">
      <alignment horizontal="center" vertical="center"/>
      <protection hidden="1"/>
    </xf>
    <xf numFmtId="0" fontId="53" fillId="14" borderId="18" xfId="7" quotePrefix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1" fillId="17" borderId="45" xfId="0" quotePrefix="1" applyFont="1" applyFill="1" applyBorder="1" applyAlignment="1" applyProtection="1">
      <alignment horizontal="center" vertical="center"/>
      <protection hidden="1"/>
    </xf>
    <xf numFmtId="0" fontId="61" fillId="17" borderId="11" xfId="0" quotePrefix="1" applyFont="1" applyFill="1" applyBorder="1" applyAlignment="1" applyProtection="1">
      <alignment horizontal="center" vertical="center"/>
      <protection hidden="1"/>
    </xf>
    <xf numFmtId="0" fontId="61" fillId="17" borderId="50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1" fillId="7" borderId="57" xfId="0" quotePrefix="1" applyFont="1" applyFill="1" applyBorder="1" applyAlignment="1" applyProtection="1">
      <alignment horizontal="center" vertical="center"/>
      <protection hidden="1"/>
    </xf>
    <xf numFmtId="0" fontId="61" fillId="7" borderId="60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0" fontId="53" fillId="14" borderId="62" xfId="0" quotePrefix="1" applyFont="1" applyFill="1" applyBorder="1" applyAlignment="1" applyProtection="1">
      <alignment horizontal="center" vertical="center"/>
      <protection hidden="1"/>
    </xf>
    <xf numFmtId="0" fontId="53" fillId="14" borderId="55" xfId="0" quotePrefix="1" applyFont="1" applyFill="1" applyBorder="1" applyAlignment="1" applyProtection="1">
      <alignment horizontal="center" vertical="center"/>
      <protection hidden="1"/>
    </xf>
    <xf numFmtId="0" fontId="54" fillId="16" borderId="2" xfId="0" applyFont="1" applyFill="1" applyBorder="1" applyAlignment="1" applyProtection="1">
      <alignment horizontal="center"/>
      <protection hidden="1"/>
    </xf>
    <xf numFmtId="0" fontId="54" fillId="16" borderId="4" xfId="0" applyFont="1" applyFill="1" applyBorder="1" applyAlignment="1" applyProtection="1">
      <alignment horizontal="center"/>
      <protection hidden="1"/>
    </xf>
    <xf numFmtId="0" fontId="54" fillId="16" borderId="3" xfId="0" applyFont="1" applyFill="1" applyBorder="1" applyAlignment="1" applyProtection="1">
      <alignment horizontal="center"/>
      <protection hidden="1"/>
    </xf>
    <xf numFmtId="0" fontId="57" fillId="21" borderId="58" xfId="0" applyFont="1" applyFill="1" applyBorder="1" applyAlignment="1" applyProtection="1">
      <alignment horizontal="center" vertical="center"/>
      <protection hidden="1"/>
    </xf>
    <xf numFmtId="0" fontId="57" fillId="21" borderId="70" xfId="0" applyFont="1" applyFill="1" applyBorder="1" applyAlignment="1" applyProtection="1">
      <alignment horizontal="center" vertic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8" xfId="0" applyBorder="1" applyAlignment="1">
      <alignment wrapText="1"/>
    </xf>
    <xf numFmtId="0" fontId="68" fillId="15" borderId="0" xfId="0" applyFont="1" applyFill="1" applyAlignment="1" applyProtection="1">
      <alignment horizontal="center" vertical="center"/>
      <protection hidden="1"/>
    </xf>
    <xf numFmtId="0" fontId="57" fillId="18" borderId="60" xfId="0" applyFont="1" applyFill="1" applyBorder="1" applyAlignment="1" applyProtection="1">
      <alignment horizontal="center" vertical="center"/>
      <protection hidden="1"/>
    </xf>
    <xf numFmtId="166" fontId="59" fillId="0" borderId="60" xfId="0" quotePrefix="1" applyNumberFormat="1" applyFont="1" applyBorder="1" applyAlignment="1" applyProtection="1">
      <alignment horizontal="center" vertical="center"/>
      <protection hidden="1"/>
    </xf>
    <xf numFmtId="0" fontId="68" fillId="15" borderId="20" xfId="0" applyFont="1" applyFill="1" applyBorder="1" applyAlignment="1" applyProtection="1">
      <alignment horizontal="center" vertical="center"/>
      <protection hidden="1"/>
    </xf>
    <xf numFmtId="0" fontId="59" fillId="18" borderId="82" xfId="0" applyFont="1" applyFill="1" applyBorder="1" applyAlignment="1" applyProtection="1">
      <alignment horizontal="center" vertical="center"/>
      <protection hidden="1"/>
    </xf>
    <xf numFmtId="0" fontId="59" fillId="18" borderId="63" xfId="0" applyFont="1" applyFill="1" applyBorder="1" applyAlignment="1" applyProtection="1">
      <alignment horizontal="center" vertical="center"/>
      <protection hidden="1"/>
    </xf>
    <xf numFmtId="0" fontId="60" fillId="18" borderId="17" xfId="0" applyFont="1" applyFill="1" applyBorder="1" applyAlignment="1" applyProtection="1">
      <alignment horizontal="center" vertical="center"/>
      <protection hidden="1"/>
    </xf>
    <xf numFmtId="0" fontId="60" fillId="18" borderId="0" xfId="0" applyFont="1" applyFill="1" applyAlignment="1" applyProtection="1">
      <alignment horizontal="center" vertical="center"/>
      <protection hidden="1"/>
    </xf>
    <xf numFmtId="0" fontId="60" fillId="18" borderId="15" xfId="0" applyFont="1" applyFill="1" applyBorder="1" applyAlignment="1" applyProtection="1">
      <alignment horizontal="center" vertical="center"/>
      <protection hidden="1"/>
    </xf>
    <xf numFmtId="0" fontId="69" fillId="15" borderId="0" xfId="2" applyFont="1" applyFill="1" applyAlignment="1" applyProtection="1">
      <alignment horizontal="center"/>
      <protection hidden="1"/>
    </xf>
    <xf numFmtId="0" fontId="69" fillId="15" borderId="15" xfId="2" applyFont="1" applyFill="1" applyBorder="1" applyAlignment="1" applyProtection="1">
      <alignment horizontal="center"/>
      <protection hidden="1"/>
    </xf>
    <xf numFmtId="0" fontId="69" fillId="15" borderId="17" xfId="2" applyFont="1" applyFill="1" applyBorder="1" applyAlignment="1" applyProtection="1">
      <alignment horizontal="center"/>
      <protection hidden="1"/>
    </xf>
    <xf numFmtId="164" fontId="61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1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4" fontId="61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4" fillId="16" borderId="17" xfId="0" applyFont="1" applyFill="1" applyBorder="1" applyAlignment="1" applyProtection="1">
      <alignment horizontal="center"/>
      <protection hidden="1"/>
    </xf>
    <xf numFmtId="0" fontId="54" fillId="16" borderId="0" xfId="0" applyFont="1" applyFill="1" applyAlignment="1" applyProtection="1">
      <alignment horizontal="center"/>
      <protection hidden="1"/>
    </xf>
    <xf numFmtId="0" fontId="54" fillId="16" borderId="15" xfId="0" applyFont="1" applyFill="1" applyBorder="1" applyAlignment="1" applyProtection="1">
      <alignment horizontal="center"/>
      <protection hidden="1"/>
    </xf>
    <xf numFmtId="0" fontId="57" fillId="14" borderId="60" xfId="0" applyFont="1" applyFill="1" applyBorder="1" applyAlignment="1" applyProtection="1">
      <alignment horizontal="center" vertical="center"/>
      <protection hidden="1"/>
    </xf>
    <xf numFmtId="166" fontId="59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68" fillId="14" borderId="0" xfId="0" applyFont="1" applyFill="1" applyAlignment="1" applyProtection="1">
      <alignment horizontal="center" vertical="center"/>
      <protection hidden="1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59" fillId="18" borderId="58" xfId="0" applyFont="1" applyFill="1" applyBorder="1" applyAlignment="1" applyProtection="1">
      <alignment horizontal="center" vertical="center"/>
      <protection hidden="1"/>
    </xf>
    <xf numFmtId="0" fontId="59" fillId="18" borderId="70" xfId="0" applyFont="1" applyFill="1" applyBorder="1" applyAlignment="1" applyProtection="1">
      <alignment horizontal="center" vertical="center"/>
      <protection hidden="1"/>
    </xf>
    <xf numFmtId="0" fontId="54" fillId="16" borderId="7" xfId="0" applyFont="1" applyFill="1" applyBorder="1" applyAlignment="1" applyProtection="1">
      <alignment horizontal="center"/>
      <protection hidden="1"/>
    </xf>
    <xf numFmtId="0" fontId="54" fillId="16" borderId="10" xfId="0" applyFont="1" applyFill="1" applyBorder="1" applyAlignment="1" applyProtection="1">
      <alignment horizontal="center"/>
      <protection hidden="1"/>
    </xf>
    <xf numFmtId="0" fontId="54" fillId="16" borderId="18" xfId="0" applyFont="1" applyFill="1" applyBorder="1" applyAlignment="1" applyProtection="1">
      <alignment horizontal="center"/>
      <protection hidden="1"/>
    </xf>
    <xf numFmtId="164" fontId="54" fillId="16" borderId="57" xfId="1" applyNumberFormat="1" applyFont="1" applyFill="1" applyBorder="1" applyAlignment="1" applyProtection="1">
      <alignment horizontal="center" vertical="top"/>
      <protection hidden="1"/>
    </xf>
    <xf numFmtId="164" fontId="54" fillId="16" borderId="60" xfId="1" applyNumberFormat="1" applyFont="1" applyFill="1" applyBorder="1" applyAlignment="1" applyProtection="1">
      <alignment horizontal="center" vertical="top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horizontal="right" vertical="center"/>
      <protection hidden="1"/>
    </xf>
    <xf numFmtId="0" fontId="59" fillId="0" borderId="0" xfId="0" applyFont="1" applyAlignment="1" applyProtection="1">
      <alignment horizontal="right" vertical="top"/>
      <protection hidden="1"/>
    </xf>
    <xf numFmtId="167" fontId="69" fillId="0" borderId="0" xfId="0" applyNumberFormat="1" applyFont="1" applyAlignment="1" applyProtection="1">
      <alignment horizontal="right" vertical="center"/>
      <protection hidden="1"/>
    </xf>
    <xf numFmtId="0" fontId="67" fillId="15" borderId="17" xfId="0" applyFont="1" applyFill="1" applyBorder="1" applyAlignment="1">
      <alignment horizontal="center"/>
    </xf>
    <xf numFmtId="0" fontId="67" fillId="15" borderId="0" xfId="0" applyFont="1" applyFill="1" applyAlignment="1">
      <alignment horizontal="center"/>
    </xf>
    <xf numFmtId="0" fontId="67" fillId="15" borderId="15" xfId="0" applyFont="1" applyFill="1" applyBorder="1" applyAlignment="1">
      <alignment horizontal="center"/>
    </xf>
    <xf numFmtId="0" fontId="56" fillId="16" borderId="5" xfId="2" applyFont="1" applyFill="1" applyBorder="1" applyAlignment="1" applyProtection="1">
      <alignment horizontal="center"/>
      <protection hidden="1"/>
    </xf>
    <xf numFmtId="0" fontId="56" fillId="16" borderId="9" xfId="2" applyFont="1" applyFill="1" applyBorder="1" applyAlignment="1" applyProtection="1">
      <alignment horizontal="center"/>
      <protection hidden="1"/>
    </xf>
    <xf numFmtId="0" fontId="56" fillId="16" borderId="16" xfId="2" applyFont="1" applyFill="1" applyBorder="1" applyAlignment="1" applyProtection="1">
      <alignment horizontal="center"/>
      <protection hidden="1"/>
    </xf>
    <xf numFmtId="0" fontId="55" fillId="15" borderId="5" xfId="2" applyFont="1" applyFill="1" applyBorder="1" applyAlignment="1" applyProtection="1">
      <alignment horizontal="center" vertical="center"/>
      <protection hidden="1"/>
    </xf>
    <xf numFmtId="0" fontId="55" fillId="15" borderId="9" xfId="2" applyFont="1" applyFill="1" applyBorder="1" applyAlignment="1" applyProtection="1">
      <alignment horizontal="center" vertical="center"/>
      <protection hidden="1"/>
    </xf>
    <xf numFmtId="0" fontId="55" fillId="15" borderId="16" xfId="2" applyFont="1" applyFill="1" applyBorder="1" applyAlignment="1" applyProtection="1">
      <alignment horizontal="center" vertical="center"/>
      <protection hidden="1"/>
    </xf>
    <xf numFmtId="0" fontId="55" fillId="15" borderId="7" xfId="2" applyFont="1" applyFill="1" applyBorder="1" applyAlignment="1" applyProtection="1">
      <alignment horizontal="center" vertical="center"/>
      <protection hidden="1"/>
    </xf>
    <xf numFmtId="0" fontId="55" fillId="15" borderId="10" xfId="2" applyFont="1" applyFill="1" applyBorder="1" applyAlignment="1" applyProtection="1">
      <alignment horizontal="center" vertical="center"/>
      <protection hidden="1"/>
    </xf>
    <xf numFmtId="0" fontId="55" fillId="15" borderId="18" xfId="2" applyFont="1" applyFill="1" applyBorder="1" applyAlignment="1" applyProtection="1">
      <alignment horizontal="center" vertical="center"/>
      <protection hidden="1"/>
    </xf>
    <xf numFmtId="0" fontId="43" fillId="7" borderId="5" xfId="0" applyFont="1" applyFill="1" applyBorder="1" applyAlignment="1" applyProtection="1">
      <alignment horizontal="center" vertical="top"/>
      <protection hidden="1"/>
    </xf>
    <xf numFmtId="0" fontId="43" fillId="7" borderId="9" xfId="0" applyFont="1" applyFill="1" applyBorder="1" applyAlignment="1" applyProtection="1">
      <alignment horizontal="center" vertical="top"/>
      <protection hidden="1"/>
    </xf>
    <xf numFmtId="0" fontId="43" fillId="7" borderId="7" xfId="0" applyFont="1" applyFill="1" applyBorder="1" applyAlignment="1" applyProtection="1">
      <alignment horizontal="center" vertical="top"/>
      <protection hidden="1"/>
    </xf>
    <xf numFmtId="0" fontId="43" fillId="7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50" fillId="0" borderId="7" xfId="0" applyNumberFormat="1" applyFont="1" applyBorder="1" applyAlignment="1">
      <alignment horizontal="center"/>
    </xf>
    <xf numFmtId="165" fontId="50" fillId="0" borderId="10" xfId="0" applyNumberFormat="1" applyFont="1" applyBorder="1" applyAlignment="1">
      <alignment horizontal="center"/>
    </xf>
    <xf numFmtId="165" fontId="50" fillId="0" borderId="18" xfId="0" applyNumberFormat="1" applyFont="1" applyBorder="1" applyAlignment="1">
      <alignment horizontal="center"/>
    </xf>
    <xf numFmtId="0" fontId="98" fillId="0" borderId="93" xfId="0" applyFont="1" applyBorder="1" applyAlignment="1">
      <alignment horizontal="left" vertical="top" wrapText="1"/>
    </xf>
    <xf numFmtId="0" fontId="98" fillId="0" borderId="95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101" fillId="22" borderId="93" xfId="0" applyFont="1" applyFill="1" applyBorder="1" applyAlignment="1">
      <alignment horizontal="center" vertical="top" wrapText="1"/>
    </xf>
    <xf numFmtId="0" fontId="101" fillId="22" borderId="94" xfId="0" applyFont="1" applyFill="1" applyBorder="1" applyAlignment="1">
      <alignment horizontal="center" vertical="top" wrapText="1"/>
    </xf>
    <xf numFmtId="0" fontId="101" fillId="22" borderId="95" xfId="0" applyFont="1" applyFill="1" applyBorder="1" applyAlignment="1">
      <alignment horizontal="center" vertical="top" wrapText="1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0" fillId="0" borderId="2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5" fontId="12" fillId="12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80" zoomScaleNormal="80" workbookViewId="0"/>
  </sheetViews>
  <sheetFormatPr baseColWidth="10" defaultColWidth="9.1640625" defaultRowHeight="15"/>
  <cols>
    <col min="1" max="1" width="32.1640625" style="48" bestFit="1" customWidth="1"/>
    <col min="2" max="2" width="22.6640625" style="48" customWidth="1"/>
    <col min="3" max="3" width="18" style="48" bestFit="1" customWidth="1"/>
    <col min="4" max="4" width="20" style="48" customWidth="1"/>
    <col min="5" max="5" width="54.83203125" style="48" customWidth="1"/>
    <col min="6" max="6" width="19.83203125" style="48" customWidth="1"/>
    <col min="7" max="7" width="52.5" style="48" customWidth="1"/>
    <col min="8" max="8" width="24.1640625" style="48" bestFit="1" customWidth="1"/>
    <col min="9" max="9" width="50.1640625" style="48" customWidth="1"/>
    <col min="10" max="10" width="21.6640625" style="48" bestFit="1" customWidth="1"/>
    <col min="11" max="11" width="52.1640625" style="48" customWidth="1"/>
    <col min="12" max="12" width="27.1640625" style="48" bestFit="1" customWidth="1"/>
    <col min="13" max="13" width="42.1640625" style="48" bestFit="1" customWidth="1"/>
    <col min="14" max="14" width="49.6640625" style="48" customWidth="1"/>
    <col min="15" max="15" width="38.5" style="48" bestFit="1" customWidth="1"/>
    <col min="16" max="16" width="20.1640625" style="48" bestFit="1" customWidth="1"/>
    <col min="17" max="17" width="25.33203125" style="48" bestFit="1" customWidth="1"/>
    <col min="18" max="18" width="26.5" style="48" customWidth="1"/>
    <col min="19" max="19" width="38.5" style="49" customWidth="1"/>
    <col min="20" max="20" width="19.5" style="49" bestFit="1" customWidth="1"/>
    <col min="21" max="21" width="22" style="49" customWidth="1"/>
    <col min="22" max="22" width="8.33203125" style="49" bestFit="1" customWidth="1"/>
    <col min="23" max="23" width="28.83203125" style="49" bestFit="1" customWidth="1"/>
    <col min="24" max="24" width="37.5" style="49" bestFit="1" customWidth="1"/>
    <col min="25" max="25" width="40.6640625" style="49" bestFit="1" customWidth="1"/>
    <col min="26" max="28" width="37.5" style="49" bestFit="1" customWidth="1"/>
    <col min="29" max="29" width="45.5" style="49" customWidth="1"/>
    <col min="30" max="30" width="14.6640625" style="49" bestFit="1" customWidth="1"/>
    <col min="31" max="31" width="16" style="48" bestFit="1" customWidth="1"/>
    <col min="32" max="32" width="9.1640625" style="48"/>
    <col min="33" max="33" width="28.5" style="48" customWidth="1"/>
    <col min="34" max="16384" width="9.1640625" style="48"/>
  </cols>
  <sheetData>
    <row r="1" spans="1:30">
      <c r="A1" s="256" t="s">
        <v>21</v>
      </c>
      <c r="B1" s="256" t="s">
        <v>22</v>
      </c>
      <c r="C1" s="256" t="s">
        <v>3</v>
      </c>
      <c r="D1" s="256" t="s">
        <v>188</v>
      </c>
      <c r="E1" s="256" t="s">
        <v>7</v>
      </c>
      <c r="F1" s="256" t="s">
        <v>23</v>
      </c>
      <c r="G1" s="256" t="s">
        <v>24</v>
      </c>
      <c r="H1" s="256" t="s">
        <v>10</v>
      </c>
      <c r="I1" s="256" t="s">
        <v>9</v>
      </c>
      <c r="J1" s="256" t="s">
        <v>25</v>
      </c>
      <c r="K1" s="256" t="s">
        <v>26</v>
      </c>
      <c r="L1" s="256" t="s">
        <v>5</v>
      </c>
      <c r="M1" s="256" t="s">
        <v>147</v>
      </c>
      <c r="N1" s="256" t="s">
        <v>12</v>
      </c>
      <c r="O1" s="256" t="s">
        <v>160</v>
      </c>
      <c r="P1" s="256" t="s">
        <v>161</v>
      </c>
      <c r="Q1"/>
      <c r="R1"/>
      <c r="S1" s="98"/>
      <c r="T1"/>
      <c r="U1"/>
      <c r="V1"/>
      <c r="Y1" s="48"/>
      <c r="Z1" s="48"/>
      <c r="AA1" s="48"/>
      <c r="AB1" s="48"/>
      <c r="AC1" s="48"/>
      <c r="AD1" s="48"/>
    </row>
    <row r="2" spans="1:30">
      <c r="A2" s="55" t="s">
        <v>27</v>
      </c>
      <c r="B2" s="55" t="s">
        <v>27</v>
      </c>
      <c r="C2" s="55" t="s">
        <v>27</v>
      </c>
      <c r="D2" s="55" t="s">
        <v>27</v>
      </c>
      <c r="E2" s="55" t="s">
        <v>27</v>
      </c>
      <c r="F2" s="55" t="s">
        <v>27</v>
      </c>
      <c r="G2" s="55" t="s">
        <v>27</v>
      </c>
      <c r="H2" s="55" t="s">
        <v>27</v>
      </c>
      <c r="I2" s="55" t="s">
        <v>27</v>
      </c>
      <c r="J2" s="55" t="s">
        <v>27</v>
      </c>
      <c r="K2" s="55" t="s">
        <v>27</v>
      </c>
      <c r="L2" s="55" t="s">
        <v>27</v>
      </c>
      <c r="M2" s="55" t="s">
        <v>27</v>
      </c>
      <c r="N2" s="55" t="s">
        <v>27</v>
      </c>
      <c r="O2" s="55" t="s">
        <v>27</v>
      </c>
      <c r="P2" s="55" t="s">
        <v>27</v>
      </c>
      <c r="Q2"/>
      <c r="R2"/>
      <c r="S2" s="55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5" t="s">
        <v>289</v>
      </c>
      <c r="C3" s="94" t="s">
        <v>170</v>
      </c>
      <c r="D3" s="48" t="s">
        <v>194</v>
      </c>
      <c r="E3" s="55" t="s">
        <v>142</v>
      </c>
      <c r="F3" s="121" t="s">
        <v>185</v>
      </c>
      <c r="G3" s="55" t="s">
        <v>152</v>
      </c>
      <c r="H3" s="55" t="s">
        <v>146</v>
      </c>
      <c r="I3" s="55" t="s">
        <v>29</v>
      </c>
      <c r="J3" s="48" t="s">
        <v>36</v>
      </c>
      <c r="K3" s="55" t="s">
        <v>30</v>
      </c>
      <c r="L3" s="55" t="s">
        <v>6</v>
      </c>
      <c r="M3" s="48" t="s">
        <v>148</v>
      </c>
      <c r="N3" s="55" t="s">
        <v>13</v>
      </c>
      <c r="O3" s="55" t="s">
        <v>176</v>
      </c>
      <c r="P3" s="55" t="s">
        <v>162</v>
      </c>
      <c r="Q3"/>
      <c r="R3"/>
      <c r="S3" s="55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5" t="s">
        <v>134</v>
      </c>
      <c r="C4" s="94" t="s">
        <v>28</v>
      </c>
      <c r="D4" s="55" t="s">
        <v>189</v>
      </c>
      <c r="E4" s="55" t="s">
        <v>143</v>
      </c>
      <c r="F4" s="55" t="s">
        <v>144</v>
      </c>
      <c r="G4" s="55" t="s">
        <v>353</v>
      </c>
      <c r="H4" s="55" t="s">
        <v>292</v>
      </c>
      <c r="I4" s="55" t="s">
        <v>32</v>
      </c>
      <c r="J4" s="48" t="s">
        <v>150</v>
      </c>
      <c r="K4" s="55" t="s">
        <v>15</v>
      </c>
      <c r="L4" s="55" t="s">
        <v>33</v>
      </c>
      <c r="M4" s="48" t="s">
        <v>149</v>
      </c>
      <c r="N4" s="48" t="s">
        <v>166</v>
      </c>
      <c r="O4" s="55" t="s">
        <v>177</v>
      </c>
      <c r="P4" s="55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5" t="s">
        <v>135</v>
      </c>
      <c r="C5" s="94" t="s">
        <v>4</v>
      </c>
      <c r="D5" s="55" t="s">
        <v>190</v>
      </c>
      <c r="E5" s="55" t="s">
        <v>184</v>
      </c>
      <c r="F5" s="55" t="s">
        <v>145</v>
      </c>
      <c r="G5" s="55" t="s">
        <v>354</v>
      </c>
      <c r="H5" s="55" t="s">
        <v>293</v>
      </c>
      <c r="I5" s="55" t="s">
        <v>296</v>
      </c>
      <c r="J5" s="48" t="s">
        <v>151</v>
      </c>
      <c r="K5" s="55" t="s">
        <v>34</v>
      </c>
      <c r="L5" s="55" t="s">
        <v>35</v>
      </c>
      <c r="M5" s="93"/>
      <c r="N5" s="55" t="s">
        <v>124</v>
      </c>
      <c r="O5" s="55" t="s">
        <v>178</v>
      </c>
      <c r="P5" s="55" t="s">
        <v>163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5" t="s">
        <v>136</v>
      </c>
      <c r="C6" s="48" t="s">
        <v>186</v>
      </c>
      <c r="D6" s="48" t="s">
        <v>191</v>
      </c>
      <c r="E6" s="55" t="s">
        <v>195</v>
      </c>
      <c r="F6" s="55" t="s">
        <v>153</v>
      </c>
      <c r="G6" s="55" t="s">
        <v>355</v>
      </c>
      <c r="H6" s="60" t="s">
        <v>294</v>
      </c>
      <c r="I6" s="55" t="s">
        <v>295</v>
      </c>
      <c r="J6" s="55"/>
      <c r="K6" s="55"/>
      <c r="L6" s="48" t="s">
        <v>193</v>
      </c>
      <c r="M6" s="93"/>
      <c r="N6" s="55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5" t="s">
        <v>137</v>
      </c>
      <c r="C7" s="55"/>
      <c r="D7" s="48" t="s">
        <v>192</v>
      </c>
      <c r="F7" s="55" t="s">
        <v>154</v>
      </c>
      <c r="G7" s="95"/>
      <c r="H7" s="55"/>
      <c r="I7" s="55"/>
      <c r="J7" s="55"/>
      <c r="K7" s="55"/>
      <c r="L7" s="48" t="s">
        <v>288</v>
      </c>
      <c r="M7"/>
      <c r="N7" s="55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5" t="s">
        <v>138</v>
      </c>
      <c r="C8" s="55"/>
      <c r="D8" s="48" t="s">
        <v>236</v>
      </c>
      <c r="F8" s="55" t="s">
        <v>187</v>
      </c>
      <c r="G8" s="95"/>
      <c r="I8" s="55"/>
      <c r="J8" s="55"/>
      <c r="K8" s="55"/>
      <c r="L8" s="55"/>
      <c r="M8"/>
      <c r="N8" s="55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5" t="s">
        <v>139</v>
      </c>
      <c r="C9" s="55"/>
      <c r="D9" s="94"/>
      <c r="E9" s="55"/>
      <c r="F9" s="55"/>
      <c r="G9" s="55"/>
      <c r="H9" s="55"/>
      <c r="I9" s="55"/>
      <c r="J9" s="55"/>
      <c r="K9" s="55"/>
      <c r="L9" s="55"/>
      <c r="M9"/>
      <c r="N9" s="55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5" t="s">
        <v>140</v>
      </c>
      <c r="C10" s="93"/>
      <c r="D10" s="55"/>
      <c r="E10" s="55"/>
      <c r="F10" s="55"/>
      <c r="G10" s="55"/>
      <c r="H10" s="55"/>
      <c r="I10" s="55"/>
      <c r="J10" s="55"/>
      <c r="K10" s="55"/>
      <c r="L10" s="55"/>
      <c r="M10"/>
      <c r="N10" s="55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5"/>
      <c r="B11" s="55" t="s">
        <v>141</v>
      </c>
      <c r="C11" s="93"/>
      <c r="D11" s="55"/>
      <c r="E11" s="55"/>
      <c r="F11" s="55"/>
      <c r="G11" s="55"/>
      <c r="H11" s="60"/>
      <c r="I11" s="55"/>
      <c r="J11" s="55"/>
      <c r="K11" s="55"/>
      <c r="L11" s="55"/>
      <c r="M11" s="93"/>
      <c r="N11" s="55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5"/>
      <c r="B12" s="55"/>
      <c r="C12" s="93"/>
      <c r="F12" s="55"/>
      <c r="G12" s="55"/>
      <c r="H12" s="60"/>
      <c r="I12" s="55"/>
      <c r="J12" s="55"/>
      <c r="K12" s="55"/>
      <c r="L12" s="55"/>
      <c r="M12" s="93"/>
      <c r="N12" s="55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5"/>
      <c r="C13" s="55"/>
      <c r="F13" s="55"/>
      <c r="H13" s="55"/>
      <c r="I13" s="55"/>
      <c r="J13" s="55"/>
      <c r="K13" s="55"/>
      <c r="L13" s="55"/>
      <c r="M13" s="93"/>
      <c r="N13" s="55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59"/>
      <c r="N14" s="55"/>
      <c r="O14"/>
      <c r="P14"/>
      <c r="Q14"/>
      <c r="R14" s="59"/>
      <c r="S14" s="59"/>
      <c r="T14" s="59"/>
      <c r="U14" s="59"/>
      <c r="V14" s="59"/>
      <c r="Y14" s="48"/>
      <c r="Z14" s="48"/>
      <c r="AA14" s="48"/>
      <c r="AB14" s="48"/>
      <c r="AC14" s="48"/>
      <c r="AD14" s="48"/>
    </row>
    <row r="15" spans="1:30">
      <c r="C15" s="62"/>
      <c r="M15" s="59"/>
      <c r="N15" s="49"/>
      <c r="O15"/>
      <c r="P15"/>
      <c r="Q15"/>
      <c r="R15" s="59"/>
      <c r="S15" s="59"/>
      <c r="T15" s="59"/>
      <c r="U15" s="59"/>
      <c r="V15" s="59"/>
      <c r="Y15" s="48"/>
      <c r="Z15" s="48"/>
      <c r="AA15" s="48"/>
      <c r="AB15" s="48"/>
      <c r="AC15" s="48"/>
      <c r="AD15" s="48"/>
    </row>
    <row r="16" spans="1:30">
      <c r="A16" s="100"/>
      <c r="C16" s="55"/>
      <c r="M16" s="59"/>
      <c r="N16" s="59"/>
      <c r="O16"/>
      <c r="P16"/>
      <c r="Q16"/>
      <c r="R16" s="59"/>
      <c r="S16" s="59"/>
      <c r="T16" s="59"/>
      <c r="U16" s="59"/>
      <c r="V16" s="59"/>
      <c r="Y16" s="48"/>
      <c r="Z16" s="48"/>
      <c r="AA16" s="48"/>
      <c r="AB16" s="48"/>
      <c r="AC16" s="48"/>
      <c r="AD16" s="48"/>
    </row>
    <row r="17" spans="1:30">
      <c r="A17" s="76"/>
      <c r="M17" s="59"/>
      <c r="N17" s="59"/>
      <c r="O17" s="59"/>
      <c r="P17" s="59"/>
      <c r="Q17" s="59"/>
      <c r="R17" s="59"/>
      <c r="S17" s="59"/>
      <c r="T17" s="59"/>
      <c r="U17" s="59"/>
      <c r="V17" s="59"/>
      <c r="Y17" s="48"/>
      <c r="Z17" s="48"/>
      <c r="AA17" s="48"/>
      <c r="AB17" s="48"/>
      <c r="AC17" s="48"/>
      <c r="AD17" s="48"/>
    </row>
    <row r="18" spans="1:30">
      <c r="M18" s="59"/>
      <c r="N18" s="59"/>
      <c r="O18" s="59"/>
      <c r="P18" s="59"/>
      <c r="Q18" s="59"/>
      <c r="R18" s="59"/>
      <c r="S18" s="59"/>
      <c r="T18" s="59"/>
      <c r="U18" s="59"/>
      <c r="V18" s="59"/>
      <c r="Y18" s="48"/>
      <c r="Z18" s="48"/>
      <c r="AA18" s="48"/>
      <c r="AB18" s="48"/>
      <c r="AC18" s="48"/>
      <c r="AD18" s="48"/>
    </row>
    <row r="19" spans="1:30">
      <c r="M19" s="59"/>
      <c r="N19" s="59"/>
      <c r="O19" s="59"/>
      <c r="P19" s="59"/>
      <c r="Q19" s="59"/>
      <c r="R19" s="59"/>
      <c r="S19" s="59"/>
      <c r="T19" s="59"/>
      <c r="U19" s="59"/>
      <c r="V19" s="59"/>
      <c r="Y19" s="48"/>
      <c r="Z19" s="48"/>
      <c r="AA19" s="48"/>
      <c r="AB19" s="48"/>
      <c r="AC19" s="48"/>
      <c r="AD19" s="48"/>
    </row>
    <row r="20" spans="1:30">
      <c r="M20" s="59"/>
      <c r="N20" s="59"/>
      <c r="O20" s="59"/>
      <c r="P20" s="59"/>
      <c r="Q20" s="59"/>
      <c r="R20" s="59"/>
      <c r="S20" s="59"/>
      <c r="T20" s="59"/>
      <c r="U20" s="59"/>
      <c r="V20" s="59"/>
      <c r="Y20" s="48"/>
      <c r="Z20" s="48"/>
      <c r="AA20" s="48"/>
      <c r="AB20" s="48"/>
      <c r="AC20" s="48"/>
      <c r="AD20" s="48"/>
    </row>
    <row r="21" spans="1:30"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76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2"/>
      <c r="B29" s="55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5"/>
      <c r="B30" s="55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5"/>
      <c r="B31" s="55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5"/>
      <c r="B32" s="55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58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58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7" thickBot="1">
      <c r="A38" s="253" t="s">
        <v>121</v>
      </c>
      <c r="B38" s="252"/>
      <c r="C38" s="55"/>
      <c r="D38" s="55"/>
      <c r="E38" s="253" t="s">
        <v>157</v>
      </c>
      <c r="F38" s="254"/>
      <c r="G38" s="253" t="s">
        <v>156</v>
      </c>
      <c r="H38" s="254"/>
      <c r="I38" s="253" t="s">
        <v>171</v>
      </c>
      <c r="J38" s="254"/>
      <c r="K38" s="253" t="s">
        <v>217</v>
      </c>
      <c r="L38" s="254"/>
      <c r="M38" s="9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13" t="s">
        <v>216</v>
      </c>
      <c r="B39" s="114" t="str" cm="1">
        <f t="array" ref="B39">IF(AND(OR('Closed End Seconds (FL)'!U10=B12:B13),'Closed End Seconds (FL)'!U16=E5),NA(),"")</f>
        <v/>
      </c>
      <c r="C39" s="55"/>
      <c r="D39" s="55"/>
      <c r="E39" s="108" t="s">
        <v>243</v>
      </c>
      <c r="F39" s="133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37" t="s">
        <v>224</v>
      </c>
      <c r="H39" s="133"/>
      <c r="I39" s="137" t="s">
        <v>227</v>
      </c>
      <c r="J39" s="133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31" t="s">
        <v>228</v>
      </c>
      <c r="L39" s="250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15"/>
      <c r="B40" s="116"/>
      <c r="C40" s="55"/>
      <c r="D40" s="55"/>
      <c r="E40" s="108" t="s">
        <v>218</v>
      </c>
      <c r="F40" s="134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32" t="s">
        <v>225</v>
      </c>
      <c r="H40" s="135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37" t="s">
        <v>226</v>
      </c>
      <c r="J40" s="134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31" t="s">
        <v>229</v>
      </c>
      <c r="L40" s="250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15" t="s">
        <v>183</v>
      </c>
      <c r="B41" s="116" t="str">
        <f>IF('Closed End Seconds (FL)'!U22=N6,NA(),"")</f>
        <v/>
      </c>
      <c r="C41" s="55"/>
      <c r="D41" s="55"/>
      <c r="E41" s="108" t="s">
        <v>290</v>
      </c>
      <c r="F41" s="134" t="str" cm="1">
        <f t="array" ref="F41">IF(AND(OR('Closed End Seconds (FL)'!U17=F3:F6),OR('Closed End Seconds (FL)'!U18=I3),OR('Closed End Seconds (FL)'!U10=B10:B11),OR('Closed End Seconds (FL)'!U11=A10)),NA(),"")</f>
        <v/>
      </c>
      <c r="G41" s="132" t="s">
        <v>226</v>
      </c>
      <c r="H41" s="128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37" t="s">
        <v>202</v>
      </c>
      <c r="J41" s="129" t="str" cm="1">
        <f t="array" ref="J41">IF(AND(OR('Closed End Seconds (FL)'!U17=F7),OR('Closed End Seconds (FL)'!U18=I3),OR('Closed End Seconds (FL)'!U10=B9:B11),OR('Closed End Seconds (FL)'!U13=C3)),NA(),"")</f>
        <v/>
      </c>
      <c r="K41" s="131" t="s">
        <v>230</v>
      </c>
      <c r="L41" s="250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15" t="s">
        <v>155</v>
      </c>
      <c r="B42" s="116" t="str" cm="1">
        <f t="array" ref="B42">IF(AND(OR('Closed End Seconds (FL)'!U10=B11:B13),OR('Closed End Seconds (FL)'!U19=H4:H5)),NA(),"")</f>
        <v/>
      </c>
      <c r="C42" s="55"/>
      <c r="D42" s="55"/>
      <c r="E42" s="125" t="s">
        <v>244</v>
      </c>
      <c r="F42" s="135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37" t="s">
        <v>231</v>
      </c>
      <c r="H42" s="129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37" t="s">
        <v>213</v>
      </c>
      <c r="J42" s="129" t="str" cm="1">
        <f t="array" ref="J42">IF(AND(OR('Closed End Seconds (FL)'!U17=F7),OR('Closed End Seconds (FL)'!U18=I3),OR('Closed End Seconds (FL)'!U11=A8:A10),OR('Closed End Seconds (FL)'!U13=C3)),NA(),"")</f>
        <v/>
      </c>
      <c r="K42" s="131" t="s">
        <v>232</v>
      </c>
      <c r="L42" s="250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15" t="s">
        <v>158</v>
      </c>
      <c r="B43" s="111" t="str">
        <f>IF(AND(OR('Closed End Seconds (FL)'!U18=I4),OR('Closed End Seconds (FL)'!U19=H4)),NA(),"")</f>
        <v/>
      </c>
      <c r="C43" s="55"/>
      <c r="D43" s="55"/>
      <c r="E43" s="125" t="s">
        <v>245</v>
      </c>
      <c r="F43" s="135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32" t="s">
        <v>248</v>
      </c>
      <c r="H43" s="128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37" t="s">
        <v>214</v>
      </c>
      <c r="J43" s="129" t="str" cm="1">
        <f t="array" ref="J43">IF(AND(OR('Closed End Seconds (FL)'!U17=F8),OR('Closed End Seconds (FL)'!U18=I3),OR('Closed End Seconds (FL)'!U11=A8:A10),OR('Closed End Seconds (FL)'!U13=C3)),NA(),"")</f>
        <v/>
      </c>
      <c r="K43" s="131" t="s">
        <v>205</v>
      </c>
      <c r="L43" s="250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10" t="s">
        <v>179</v>
      </c>
      <c r="B44" s="111" t="str">
        <f>IF(AND('Closed End Seconds (FL)'!U13=C3,'Closed End Seconds (FL)'!U23=O4),NA(),"")</f>
        <v/>
      </c>
      <c r="D44" s="55"/>
      <c r="E44" s="108" t="s">
        <v>196</v>
      </c>
      <c r="F44" s="129" t="str" cm="1">
        <f t="array" ref="F44">IF(AND(OR('Closed End Seconds (FL)'!U17=F7),OR('Closed End Seconds (FL)'!U18=I3),OR('Closed End Seconds (FL)'!U10=B8:B11),OR('Closed End Seconds (FL)'!U11=A10)),NA(),"")</f>
        <v/>
      </c>
      <c r="G44" s="137" t="s">
        <v>203</v>
      </c>
      <c r="H44" s="136"/>
      <c r="I44" s="132"/>
      <c r="J44" s="135"/>
      <c r="K44" s="131" t="s">
        <v>206</v>
      </c>
      <c r="L44" s="250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6" thickBot="1">
      <c r="A45" s="110" t="s">
        <v>164</v>
      </c>
      <c r="B45" s="111" t="str">
        <f>IF('Closed End Seconds (FL)'!U23=O3,NA(),"")</f>
        <v/>
      </c>
      <c r="D45" s="55"/>
      <c r="E45" s="127" t="s">
        <v>219</v>
      </c>
      <c r="F45" s="136"/>
      <c r="G45" s="137" t="s">
        <v>204</v>
      </c>
      <c r="H45" s="136"/>
      <c r="I45" s="251" t="s">
        <v>215</v>
      </c>
      <c r="J45" s="138" t="str" cm="1">
        <f t="array" ref="J45">IF(AND(OR('Closed End Seconds (FL)'!U10=B7:B11),OR('Closed End Seconds (FL)'!U19=H4),OR('Closed End Seconds (FL)'!U17=F8)),NA(),"")</f>
        <v/>
      </c>
      <c r="K45" s="131" t="s">
        <v>207</v>
      </c>
      <c r="L45" s="250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15" t="s">
        <v>181</v>
      </c>
      <c r="B46" s="116" t="str">
        <f>IF(AND('Closed End Seconds (FL)'!U13=C3,'Closed End Seconds (FL)'!U24=P3),NA(),"")</f>
        <v/>
      </c>
      <c r="C46" s="55"/>
      <c r="D46" s="55"/>
      <c r="E46" s="109" t="s">
        <v>220</v>
      </c>
      <c r="F46" s="129"/>
      <c r="G46" s="132" t="s">
        <v>247</v>
      </c>
      <c r="H46" s="128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31" t="s">
        <v>208</v>
      </c>
      <c r="L46" s="250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15" t="s">
        <v>165</v>
      </c>
      <c r="B47" s="116" t="str">
        <f>IF('Closed End Seconds (FL)'!U24=P5,NA(),"")</f>
        <v/>
      </c>
      <c r="D47" s="55"/>
      <c r="E47" s="126" t="s">
        <v>255</v>
      </c>
      <c r="F47" s="128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32" t="s">
        <v>228</v>
      </c>
      <c r="H47" s="128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10" t="s">
        <v>167</v>
      </c>
      <c r="B48" s="111" t="str">
        <f>IF(E143="","",IF('Closed End Seconds (FL)'!U9&gt;E143,NA(),""))</f>
        <v/>
      </c>
      <c r="C48" s="55"/>
      <c r="D48" s="55"/>
      <c r="E48" s="127" t="s">
        <v>197</v>
      </c>
      <c r="F48" s="136"/>
      <c r="G48" s="137" t="s">
        <v>229</v>
      </c>
      <c r="H48" s="129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6" thickBot="1">
      <c r="A49" s="115"/>
      <c r="B49" s="116"/>
      <c r="C49" s="55"/>
      <c r="D49" s="55"/>
      <c r="E49" s="109" t="s">
        <v>198</v>
      </c>
      <c r="F49" s="129" t="str" cm="1">
        <f t="array" ref="F49">IF(AND(OR('Closed End Seconds (FL)'!U17=F7),OR('Closed End Seconds (FL)'!U18=I5),OR('Closed End Seconds (FL)'!U10=B9:B11),OR('Closed End Seconds (FL)'!U11=A8)),NA(),"")</f>
        <v/>
      </c>
      <c r="G49" s="137" t="s">
        <v>230</v>
      </c>
      <c r="H49" s="129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15"/>
      <c r="B50" s="116"/>
      <c r="C50" s="55"/>
      <c r="D50" s="55"/>
      <c r="E50" s="126" t="s">
        <v>258</v>
      </c>
      <c r="F50" s="128" t="str" cm="1">
        <f t="array" ref="F50">IF(AND(OR('Closed End Seconds (FL)'!U17=F7),OR('Closed End Seconds (FL)'!U18=I5),OR('Closed End Seconds (FL)'!U10=B11),OR('Closed End Seconds (FL)'!U11=A9:A10)),NA(),"")</f>
        <v/>
      </c>
      <c r="G50" s="137" t="s">
        <v>232</v>
      </c>
      <c r="H50" s="129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37" t="s">
        <v>174</v>
      </c>
      <c r="J50" s="133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12"/>
      <c r="B51" s="116"/>
      <c r="C51" s="99"/>
      <c r="D51" s="55"/>
      <c r="E51" s="126" t="s">
        <v>256</v>
      </c>
      <c r="F51" s="128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37" t="s">
        <v>205</v>
      </c>
      <c r="H51" s="129"/>
      <c r="I51" s="251" t="s">
        <v>172</v>
      </c>
      <c r="J51" s="139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15"/>
      <c r="B52" s="116"/>
      <c r="C52" s="99"/>
      <c r="D52" s="55"/>
      <c r="E52" s="109" t="s">
        <v>221</v>
      </c>
      <c r="F52" s="129" t="str" cm="1">
        <f t="array" ref="F52">IF(AND(OR('Closed End Seconds (FL)'!U17=F3:F6),OR('Closed End Seconds (FL)'!U18=I4),OR('Closed End Seconds (FL)'!U10=B10:B11)),NA(),"")</f>
        <v/>
      </c>
      <c r="G52" s="137" t="s">
        <v>206</v>
      </c>
      <c r="H52" s="129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37" t="s">
        <v>173</v>
      </c>
      <c r="J52" s="129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6" thickBot="1">
      <c r="A53" s="117"/>
      <c r="B53" s="116"/>
      <c r="C53" s="99"/>
      <c r="D53" s="55"/>
      <c r="E53" s="109" t="s">
        <v>222</v>
      </c>
      <c r="F53" s="129" t="str" cm="1">
        <f t="array" ref="F53">IF(AND(OR('Closed End Seconds (FL)'!U17=F3:F6),OR('Closed End Seconds (FL)'!U18=I4),OR('Closed End Seconds (FL)'!U10=B9:B11),OR('Closed End Seconds (FL)'!U11=A9:A10)),NA(),"")</f>
        <v/>
      </c>
      <c r="G53" s="137" t="s">
        <v>207</v>
      </c>
      <c r="H53" s="129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37" t="s">
        <v>175</v>
      </c>
      <c r="J53" s="130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17"/>
      <c r="B54" s="116"/>
      <c r="C54" s="99"/>
      <c r="D54" s="55"/>
      <c r="E54" s="109" t="s">
        <v>223</v>
      </c>
      <c r="F54" s="129" t="str" cm="1">
        <f t="array" ref="F54">IF(AND(OR('Closed End Seconds (FL)'!U17=F3:F6),OR('Closed End Seconds (FL)'!U18=I4),OR('Closed End Seconds (FL)'!U10=B6:B11),OR('Closed End Seconds (FL)'!U11=A10)),NA(),"")</f>
        <v/>
      </c>
      <c r="G54" s="137" t="s">
        <v>208</v>
      </c>
      <c r="H54" s="129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17"/>
      <c r="B55" s="111"/>
      <c r="D55" s="55"/>
      <c r="E55" s="109" t="s">
        <v>199</v>
      </c>
      <c r="F55" s="129" t="str" cm="1">
        <f t="array" ref="F55">IF(AND(OR('Closed End Seconds (FL)'!U17=F7),OR('Closed End Seconds (FL)'!U18=I4),OR('Closed End Seconds (FL)'!U10=B8:B11)),NA(),"")</f>
        <v/>
      </c>
      <c r="G55" s="137" t="s">
        <v>233</v>
      </c>
      <c r="H55" s="129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17"/>
      <c r="B56" s="111"/>
      <c r="D56" s="55"/>
      <c r="E56" s="109" t="s">
        <v>200</v>
      </c>
      <c r="F56" s="129" t="str" cm="1">
        <f t="array" ref="F56">IF(AND(OR('Closed End Seconds (FL)'!U17=F7),OR('Closed End Seconds (FL)'!U18=I4),OR('Closed End Seconds (FL)'!U10=B7:B11),OR('Closed End Seconds (FL)'!U11=A9:A10)),NA(),"")</f>
        <v/>
      </c>
      <c r="G56" s="137" t="s">
        <v>234</v>
      </c>
      <c r="H56" s="129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17"/>
      <c r="B57" s="111"/>
      <c r="D57" s="55"/>
      <c r="E57" s="109" t="s">
        <v>201</v>
      </c>
      <c r="F57" s="129" t="str" cm="1">
        <f t="array" ref="F57">IF(AND(OR('Closed End Seconds (FL)'!U17=F7),OR('Closed End Seconds (FL)'!U18=I4),OR('Closed End Seconds (FL)'!U10=B6:B11),OR('Closed End Seconds (FL)'!U11=A10)),NA(),"")</f>
        <v/>
      </c>
      <c r="G57" s="137" t="s">
        <v>235</v>
      </c>
      <c r="H57" s="129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17"/>
      <c r="B58" s="111"/>
      <c r="D58" s="55"/>
      <c r="E58" s="125" t="s">
        <v>246</v>
      </c>
      <c r="F58" s="129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37" t="s">
        <v>223</v>
      </c>
      <c r="H58" s="129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17"/>
      <c r="B59" s="116"/>
      <c r="C59" s="55"/>
      <c r="E59" s="126" t="s">
        <v>257</v>
      </c>
      <c r="F59" s="129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37" t="s">
        <v>209</v>
      </c>
      <c r="H59" s="129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12"/>
      <c r="B60" s="116"/>
      <c r="E60" s="126" t="s">
        <v>259</v>
      </c>
      <c r="F60" s="129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37" t="s">
        <v>210</v>
      </c>
      <c r="H60" s="129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12"/>
      <c r="B61" s="116"/>
      <c r="E61" s="126" t="s">
        <v>260</v>
      </c>
      <c r="F61" s="129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37" t="s">
        <v>211</v>
      </c>
      <c r="H61" s="129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10"/>
      <c r="B62" s="111"/>
      <c r="E62" s="126" t="s">
        <v>261</v>
      </c>
      <c r="F62" s="129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37" t="s">
        <v>212</v>
      </c>
      <c r="H62" s="129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6" thickBot="1">
      <c r="A63" s="118"/>
      <c r="B63" s="119" t="str" cm="1">
        <f t="array" ref="B63">IF(AND(OR('Closed End Seconds (FL)'!U10=B11:B12),OR('Closed End Seconds (FL)'!U20=J5:J6,'Closed End Seconds (FL)'!U20=J9,'Closed End Seconds (FL)'!U20=J12)),NA(),"")</f>
        <v/>
      </c>
      <c r="E63" s="126" t="s">
        <v>262</v>
      </c>
      <c r="F63" s="129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32" t="s">
        <v>250</v>
      </c>
      <c r="H63" s="129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6" thickBot="1">
      <c r="A64" s="120" t="s">
        <v>120</v>
      </c>
      <c r="B64" s="266">
        <f>SUM(B39:B63)+SUM(F39:F76)+SUM(H39:H76)+SUM(L39:L71)+SUM(J39:J71)+SUM(Z43:Z45)+SUM(AD43)</f>
        <v>0</v>
      </c>
      <c r="E64" s="126" t="s">
        <v>263</v>
      </c>
      <c r="F64" s="129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32" t="s">
        <v>249</v>
      </c>
      <c r="H64" s="128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98"/>
      <c r="B65" s="98"/>
      <c r="E65" s="126" t="s">
        <v>264</v>
      </c>
      <c r="F65" s="129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32" t="s">
        <v>251</v>
      </c>
      <c r="H65" s="129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6" thickBot="1">
      <c r="A66"/>
      <c r="B66" s="55"/>
      <c r="E66" s="126" t="s">
        <v>265</v>
      </c>
      <c r="F66" s="129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32" t="s">
        <v>252</v>
      </c>
      <c r="H66" s="129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2" thickBot="1">
      <c r="A67" s="257" t="s">
        <v>291</v>
      </c>
      <c r="B67" s="258">
        <v>0</v>
      </c>
      <c r="C67"/>
      <c r="E67" s="126" t="s">
        <v>266</v>
      </c>
      <c r="F67" s="129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32" t="s">
        <v>253</v>
      </c>
      <c r="H67" s="129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5"/>
      <c r="C68"/>
      <c r="E68" s="126" t="s">
        <v>267</v>
      </c>
      <c r="F68" s="129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32" t="s">
        <v>254</v>
      </c>
      <c r="H68" s="129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5"/>
      <c r="C69"/>
      <c r="E69" s="126" t="s">
        <v>268</v>
      </c>
      <c r="F69" s="129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32" t="s">
        <v>270</v>
      </c>
      <c r="H69" s="129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6" thickBot="1">
      <c r="A70" t="s">
        <v>356</v>
      </c>
      <c r="B70" s="55"/>
      <c r="C70"/>
      <c r="E70" s="126" t="s">
        <v>269</v>
      </c>
      <c r="F70" s="130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32" t="s">
        <v>271</v>
      </c>
      <c r="H70" s="129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 (FL)'!U10=B3:B11),0.25)</f>
        <v>0</v>
      </c>
      <c r="B71" s="55"/>
      <c r="C71"/>
      <c r="E71"/>
      <c r="F71"/>
      <c r="G71" s="125" t="s">
        <v>272</v>
      </c>
      <c r="H71" s="129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5"/>
      <c r="C72"/>
      <c r="E72"/>
      <c r="F72"/>
      <c r="G72" s="125" t="s">
        <v>273</v>
      </c>
      <c r="H72" s="129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6" thickBot="1">
      <c r="E73"/>
      <c r="F73"/>
      <c r="G73" s="125" t="s">
        <v>274</v>
      </c>
      <c r="H73" s="130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6" thickBot="1">
      <c r="B80" s="398" t="s">
        <v>0</v>
      </c>
      <c r="C80" s="399"/>
      <c r="D80" s="399"/>
      <c r="E80" s="399"/>
      <c r="F80"/>
      <c r="I80" s="122" t="s">
        <v>0</v>
      </c>
      <c r="J80" s="123"/>
      <c r="K80" s="123"/>
      <c r="L80" s="124"/>
    </row>
    <row r="81" spans="2:37" ht="16" thickBot="1">
      <c r="B81" s="56" t="s">
        <v>38</v>
      </c>
      <c r="C81" s="57" t="s">
        <v>28</v>
      </c>
      <c r="D81" s="57" t="s">
        <v>4</v>
      </c>
      <c r="E81" s="87" t="s">
        <v>186</v>
      </c>
      <c r="F81"/>
      <c r="G81" s="50" t="s">
        <v>39</v>
      </c>
      <c r="I81" s="63" t="s">
        <v>38</v>
      </c>
      <c r="J81" s="57" t="s">
        <v>28</v>
      </c>
      <c r="K81" s="57" t="s">
        <v>4</v>
      </c>
      <c r="L81" s="87" t="s">
        <v>186</v>
      </c>
      <c r="M81"/>
      <c r="N81" s="77">
        <v>0</v>
      </c>
    </row>
    <row r="82" spans="2:37">
      <c r="B82" s="88">
        <f>'Closed End Seconds (FL)'!B12</f>
        <v>7.25</v>
      </c>
      <c r="C82" s="89">
        <f>'Closed End Seconds (FL)'!C12</f>
        <v>96</v>
      </c>
      <c r="D82" s="89">
        <f>'Closed End Seconds (FL)'!D12</f>
        <v>95.5</v>
      </c>
      <c r="E82" s="101" t="e">
        <f>'Closed End Seconds (FL)'!E12</f>
        <v>#N/A</v>
      </c>
      <c r="F82"/>
      <c r="G82" s="52">
        <f>SUM('Closed End Seconds (FL)'!V11:V26)+B64</f>
        <v>0</v>
      </c>
      <c r="H82" s="53">
        <v>1</v>
      </c>
      <c r="I82" s="54">
        <f t="shared" ref="I82:I121" si="0">B82</f>
        <v>7.25</v>
      </c>
      <c r="J82" s="90">
        <f t="shared" ref="J82:J95" si="1">C82+$G$82</f>
        <v>96</v>
      </c>
      <c r="K82" s="90">
        <f t="shared" ref="K82:K95" si="2">D82+$G$82</f>
        <v>95.5</v>
      </c>
      <c r="L82" s="91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96.625</v>
      </c>
      <c r="D83" s="1">
        <f>'Closed End Seconds (FL)'!D13</f>
        <v>96.125</v>
      </c>
      <c r="E83" s="102" t="e">
        <f>'Closed End Seconds (FL)'!E13</f>
        <v>#N/A</v>
      </c>
      <c r="F83"/>
      <c r="G83" s="48" t="s">
        <v>118</v>
      </c>
      <c r="H83" s="53">
        <v>2</v>
      </c>
      <c r="I83" s="64">
        <f t="shared" si="0"/>
        <v>7.375</v>
      </c>
      <c r="J83" s="65">
        <f t="shared" si="1"/>
        <v>96.625</v>
      </c>
      <c r="K83" s="65">
        <f t="shared" si="2"/>
        <v>96.125</v>
      </c>
      <c r="L83" s="66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97.25</v>
      </c>
      <c r="D84" s="1">
        <f>'Closed End Seconds (FL)'!D14</f>
        <v>96.75</v>
      </c>
      <c r="E84" s="102" t="e">
        <f>'Closed End Seconds (FL)'!E14</f>
        <v>#N/A</v>
      </c>
      <c r="F84"/>
      <c r="G84" s="48" t="s">
        <v>40</v>
      </c>
      <c r="H84" s="53">
        <v>3</v>
      </c>
      <c r="I84" s="64">
        <f t="shared" si="0"/>
        <v>7.4989999999999997</v>
      </c>
      <c r="J84" s="65">
        <f t="shared" si="1"/>
        <v>97.25</v>
      </c>
      <c r="K84" s="65">
        <f t="shared" si="2"/>
        <v>96.75</v>
      </c>
      <c r="L84" s="66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97.875</v>
      </c>
      <c r="D85" s="1">
        <f>'Closed End Seconds (FL)'!D15</f>
        <v>97.375</v>
      </c>
      <c r="E85" s="102" t="e">
        <f>'Closed End Seconds (FL)'!E15</f>
        <v>#N/A</v>
      </c>
      <c r="F85"/>
      <c r="G85" s="52" t="e">
        <f>'Closed End Seconds (FL)'!V31</f>
        <v>#N/A</v>
      </c>
      <c r="H85" s="53">
        <v>4</v>
      </c>
      <c r="I85" s="64">
        <f t="shared" si="0"/>
        <v>7.625</v>
      </c>
      <c r="J85" s="65">
        <f t="shared" si="1"/>
        <v>97.875</v>
      </c>
      <c r="K85" s="65">
        <f t="shared" si="2"/>
        <v>97.375</v>
      </c>
      <c r="L85" s="66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98.375</v>
      </c>
      <c r="D86" s="1">
        <f>'Closed End Seconds (FL)'!D16</f>
        <v>97.875</v>
      </c>
      <c r="E86" s="102" t="e">
        <f>'Closed End Seconds (FL)'!E16</f>
        <v>#N/A</v>
      </c>
      <c r="F86"/>
      <c r="H86" s="53">
        <v>5</v>
      </c>
      <c r="I86" s="64">
        <f t="shared" si="0"/>
        <v>7.75</v>
      </c>
      <c r="J86" s="65">
        <f t="shared" si="1"/>
        <v>98.375</v>
      </c>
      <c r="K86" s="65">
        <f t="shared" si="2"/>
        <v>97.875</v>
      </c>
      <c r="L86" s="66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98.875</v>
      </c>
      <c r="D87" s="1">
        <f>'Closed End Seconds (FL)'!D17</f>
        <v>98.375</v>
      </c>
      <c r="E87" s="102" t="e">
        <f>'Closed End Seconds (FL)'!E17</f>
        <v>#N/A</v>
      </c>
      <c r="F87"/>
      <c r="H87" s="53">
        <v>6</v>
      </c>
      <c r="I87" s="64">
        <f t="shared" si="0"/>
        <v>7.875</v>
      </c>
      <c r="J87" s="65">
        <f t="shared" si="1"/>
        <v>98.875</v>
      </c>
      <c r="K87" s="65">
        <f t="shared" si="2"/>
        <v>98.375</v>
      </c>
      <c r="L87" s="66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99.375</v>
      </c>
      <c r="D88" s="1">
        <f>'Closed End Seconds (FL)'!D18</f>
        <v>98.875</v>
      </c>
      <c r="E88" s="102" t="e">
        <f>'Closed End Seconds (FL)'!E18</f>
        <v>#N/A</v>
      </c>
      <c r="F88"/>
      <c r="H88" s="53">
        <v>7</v>
      </c>
      <c r="I88" s="64">
        <f t="shared" si="0"/>
        <v>7.9989999999999997</v>
      </c>
      <c r="J88" s="65">
        <f t="shared" si="1"/>
        <v>99.375</v>
      </c>
      <c r="K88" s="65">
        <f t="shared" si="2"/>
        <v>98.875</v>
      </c>
      <c r="L88" s="66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99.8125</v>
      </c>
      <c r="D89" s="1">
        <f>'Closed End Seconds (FL)'!D19</f>
        <v>99.3125</v>
      </c>
      <c r="E89" s="102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4">
        <f t="shared" si="0"/>
        <v>8.125</v>
      </c>
      <c r="J89" s="65">
        <f t="shared" si="1"/>
        <v>99.8125</v>
      </c>
      <c r="K89" s="65">
        <f t="shared" si="2"/>
        <v>99.3125</v>
      </c>
      <c r="L89" s="66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100.25</v>
      </c>
      <c r="D90" s="1">
        <f>'Closed End Seconds (FL)'!D20</f>
        <v>99.75</v>
      </c>
      <c r="E90" s="102" t="e">
        <f>'Closed End Seconds (FL)'!E20</f>
        <v>#N/A</v>
      </c>
      <c r="F90"/>
      <c r="H90" s="53">
        <v>9</v>
      </c>
      <c r="I90" s="64">
        <f t="shared" si="0"/>
        <v>8.25</v>
      </c>
      <c r="J90" s="65">
        <f t="shared" si="1"/>
        <v>100.25</v>
      </c>
      <c r="K90" s="65">
        <f t="shared" si="2"/>
        <v>99.75</v>
      </c>
      <c r="L90" s="66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100.6875</v>
      </c>
      <c r="D91" s="1">
        <f>'Closed End Seconds (FL)'!D21</f>
        <v>100.1875</v>
      </c>
      <c r="E91" s="102" t="e">
        <f>'Closed End Seconds (FL)'!E21</f>
        <v>#N/A</v>
      </c>
      <c r="F91"/>
      <c r="H91" s="53">
        <v>10</v>
      </c>
      <c r="I91" s="64">
        <f t="shared" si="0"/>
        <v>8.375</v>
      </c>
      <c r="J91" s="65">
        <f t="shared" si="1"/>
        <v>100.6875</v>
      </c>
      <c r="K91" s="65">
        <f t="shared" si="2"/>
        <v>100.1875</v>
      </c>
      <c r="L91" s="66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101.125</v>
      </c>
      <c r="D92" s="1">
        <f>'Closed End Seconds (FL)'!D22</f>
        <v>100.625</v>
      </c>
      <c r="E92" s="102">
        <f>'Closed End Seconds (FL)'!E22</f>
        <v>97</v>
      </c>
      <c r="F92"/>
      <c r="H92" s="53">
        <v>11</v>
      </c>
      <c r="I92" s="64">
        <f t="shared" si="0"/>
        <v>8.4990000000000006</v>
      </c>
      <c r="J92" s="65">
        <f t="shared" si="1"/>
        <v>101.125</v>
      </c>
      <c r="K92" s="65">
        <f t="shared" si="2"/>
        <v>100.625</v>
      </c>
      <c r="L92" s="66">
        <f t="shared" si="3"/>
        <v>97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101.5625</v>
      </c>
      <c r="D93" s="1">
        <f>'Closed End Seconds (FL)'!D23</f>
        <v>101.0625</v>
      </c>
      <c r="E93" s="102">
        <f>'Closed End Seconds (FL)'!E23</f>
        <v>97.375</v>
      </c>
      <c r="F93"/>
      <c r="H93" s="53">
        <v>12</v>
      </c>
      <c r="I93" s="64">
        <f t="shared" si="0"/>
        <v>8.625</v>
      </c>
      <c r="J93" s="65">
        <f t="shared" si="1"/>
        <v>101.5625</v>
      </c>
      <c r="K93" s="65">
        <f t="shared" si="2"/>
        <v>101.0625</v>
      </c>
      <c r="L93" s="66">
        <f t="shared" si="3"/>
        <v>97.375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102</v>
      </c>
      <c r="D94" s="1">
        <f>'Closed End Seconds (FL)'!D24</f>
        <v>101.5</v>
      </c>
      <c r="E94" s="102">
        <f>'Closed End Seconds (FL)'!E24</f>
        <v>97.75</v>
      </c>
      <c r="F94"/>
      <c r="H94" s="53">
        <v>13</v>
      </c>
      <c r="I94" s="64">
        <f t="shared" si="0"/>
        <v>8.75</v>
      </c>
      <c r="J94" s="65">
        <f t="shared" si="1"/>
        <v>102</v>
      </c>
      <c r="K94" s="65">
        <f t="shared" si="2"/>
        <v>101.5</v>
      </c>
      <c r="L94" s="66">
        <f t="shared" si="3"/>
        <v>97.75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102.375</v>
      </c>
      <c r="D95" s="1">
        <f>'Closed End Seconds (FL)'!D25</f>
        <v>101.875</v>
      </c>
      <c r="E95" s="102">
        <f>'Closed End Seconds (FL)'!E25</f>
        <v>98.125</v>
      </c>
      <c r="F95"/>
      <c r="H95" s="53">
        <v>14</v>
      </c>
      <c r="I95" s="64">
        <f t="shared" si="0"/>
        <v>8.875</v>
      </c>
      <c r="J95" s="65">
        <f t="shared" si="1"/>
        <v>102.375</v>
      </c>
      <c r="K95" s="65">
        <f t="shared" si="2"/>
        <v>101.875</v>
      </c>
      <c r="L95" s="66">
        <f t="shared" si="3"/>
        <v>98.125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102.75</v>
      </c>
      <c r="D96" s="1">
        <f>'Closed End Seconds (FL)'!D26</f>
        <v>102.25</v>
      </c>
      <c r="E96" s="102">
        <f>'Closed End Seconds (FL)'!E26</f>
        <v>98.5</v>
      </c>
      <c r="F96"/>
      <c r="H96" s="53">
        <v>15</v>
      </c>
      <c r="I96" s="64">
        <f t="shared" si="0"/>
        <v>8.9990000000000006</v>
      </c>
      <c r="J96" s="65">
        <f t="shared" ref="J96:J121" si="4">C96+$G$82</f>
        <v>102.75</v>
      </c>
      <c r="K96" s="65">
        <f t="shared" ref="K96:K121" si="5">D96+$G$82</f>
        <v>102.25</v>
      </c>
      <c r="L96" s="66">
        <f t="shared" ref="L96:L121" si="6">E96+$G$82</f>
        <v>98.5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103.125</v>
      </c>
      <c r="D97" s="1">
        <f>'Closed End Seconds (FL)'!D27</f>
        <v>102.625</v>
      </c>
      <c r="E97" s="102">
        <f>'Closed End Seconds (FL)'!E27</f>
        <v>98.875</v>
      </c>
      <c r="F97"/>
      <c r="G97" s="52"/>
      <c r="H97" s="53">
        <v>16</v>
      </c>
      <c r="I97" s="64">
        <f t="shared" si="0"/>
        <v>9.125</v>
      </c>
      <c r="J97" s="65">
        <f t="shared" si="4"/>
        <v>103.125</v>
      </c>
      <c r="K97" s="65">
        <f t="shared" si="5"/>
        <v>102.625</v>
      </c>
      <c r="L97" s="66">
        <f t="shared" si="6"/>
        <v>98.875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103.5</v>
      </c>
      <c r="D98" s="1">
        <f>'Closed End Seconds (FL)'!D28</f>
        <v>103</v>
      </c>
      <c r="E98" s="102">
        <f>'Closed End Seconds (FL)'!E28</f>
        <v>99.25</v>
      </c>
      <c r="F98"/>
      <c r="G98" s="52"/>
      <c r="H98" s="53">
        <v>17</v>
      </c>
      <c r="I98" s="64">
        <f t="shared" si="0"/>
        <v>9.25</v>
      </c>
      <c r="J98" s="65">
        <f t="shared" si="4"/>
        <v>103.5</v>
      </c>
      <c r="K98" s="65">
        <f t="shared" si="5"/>
        <v>103</v>
      </c>
      <c r="L98" s="66">
        <f t="shared" si="6"/>
        <v>99.25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103.75</v>
      </c>
      <c r="D99" s="1">
        <f>'Closed End Seconds (FL)'!D29</f>
        <v>103.25</v>
      </c>
      <c r="E99" s="102">
        <f>'Closed End Seconds (FL)'!E29</f>
        <v>99.5</v>
      </c>
      <c r="F99"/>
      <c r="H99" s="53">
        <v>18</v>
      </c>
      <c r="I99" s="79">
        <f t="shared" si="0"/>
        <v>9.375</v>
      </c>
      <c r="J99" s="80">
        <f t="shared" si="4"/>
        <v>103.75</v>
      </c>
      <c r="K99" s="80">
        <f t="shared" si="5"/>
        <v>103.25</v>
      </c>
      <c r="L99" s="92">
        <f t="shared" si="6"/>
        <v>99.5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104</v>
      </c>
      <c r="D100" s="1">
        <f>'Closed End Seconds (FL)'!D30</f>
        <v>103.5</v>
      </c>
      <c r="E100" s="102">
        <f>'Closed End Seconds (FL)'!E30</f>
        <v>99.75</v>
      </c>
      <c r="F100"/>
      <c r="H100" s="53">
        <v>19</v>
      </c>
      <c r="I100" s="79">
        <f t="shared" si="0"/>
        <v>9.4990000000000006</v>
      </c>
      <c r="J100" s="80">
        <f t="shared" si="4"/>
        <v>104</v>
      </c>
      <c r="K100" s="80">
        <f t="shared" si="5"/>
        <v>103.5</v>
      </c>
      <c r="L100" s="92">
        <f t="shared" si="6"/>
        <v>99.75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104.1875</v>
      </c>
      <c r="D101" s="1">
        <f>'Closed End Seconds (FL)'!D31</f>
        <v>103.6875</v>
      </c>
      <c r="E101" s="102">
        <f>'Closed End Seconds (FL)'!E31</f>
        <v>100</v>
      </c>
      <c r="F101"/>
      <c r="H101" s="53">
        <v>20</v>
      </c>
      <c r="I101" s="64">
        <f t="shared" si="0"/>
        <v>9.625</v>
      </c>
      <c r="J101" s="65">
        <f t="shared" si="4"/>
        <v>104.1875</v>
      </c>
      <c r="K101" s="65">
        <f t="shared" si="5"/>
        <v>103.6875</v>
      </c>
      <c r="L101" s="66">
        <f t="shared" si="6"/>
        <v>100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104.375</v>
      </c>
      <c r="D102" s="1">
        <f>'Closed End Seconds (FL)'!D32</f>
        <v>103.875</v>
      </c>
      <c r="E102" s="102">
        <f>'Closed End Seconds (FL)'!E32</f>
        <v>100.25</v>
      </c>
      <c r="F102"/>
      <c r="H102" s="53">
        <v>21</v>
      </c>
      <c r="I102" s="64">
        <f t="shared" si="0"/>
        <v>9.75</v>
      </c>
      <c r="J102" s="65">
        <f t="shared" si="4"/>
        <v>104.375</v>
      </c>
      <c r="K102" s="65">
        <f t="shared" si="5"/>
        <v>103.875</v>
      </c>
      <c r="L102" s="66">
        <f t="shared" si="6"/>
        <v>100.25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104.5625</v>
      </c>
      <c r="D103" s="1">
        <f>'Closed End Seconds (FL)'!D33</f>
        <v>104.0625</v>
      </c>
      <c r="E103" s="102">
        <f>'Closed End Seconds (FL)'!E33</f>
        <v>100.5</v>
      </c>
      <c r="F103"/>
      <c r="H103" s="53">
        <v>22</v>
      </c>
      <c r="I103" s="64">
        <f t="shared" si="0"/>
        <v>9.875</v>
      </c>
      <c r="J103" s="65">
        <f t="shared" si="4"/>
        <v>104.5625</v>
      </c>
      <c r="K103" s="65">
        <f t="shared" si="5"/>
        <v>104.0625</v>
      </c>
      <c r="L103" s="66">
        <f t="shared" si="6"/>
        <v>100.5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104.75</v>
      </c>
      <c r="D104" s="1">
        <f>'Closed End Seconds (FL)'!D34</f>
        <v>104.25</v>
      </c>
      <c r="E104" s="102">
        <f>'Closed End Seconds (FL)'!E34</f>
        <v>100.75</v>
      </c>
      <c r="F104"/>
      <c r="H104" s="53">
        <v>23</v>
      </c>
      <c r="I104" s="64">
        <f t="shared" si="0"/>
        <v>9.9990000000000006</v>
      </c>
      <c r="J104" s="65">
        <f t="shared" si="4"/>
        <v>104.75</v>
      </c>
      <c r="K104" s="65">
        <f t="shared" si="5"/>
        <v>104.25</v>
      </c>
      <c r="L104" s="66">
        <f t="shared" si="6"/>
        <v>100.75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104.9375</v>
      </c>
      <c r="D105" s="1">
        <f>'Closed End Seconds (FL)'!D35</f>
        <v>104.4375</v>
      </c>
      <c r="E105" s="102">
        <f>'Closed End Seconds (FL)'!E35</f>
        <v>101</v>
      </c>
      <c r="F105"/>
      <c r="H105" s="53">
        <v>24</v>
      </c>
      <c r="I105" s="64">
        <f t="shared" si="0"/>
        <v>10.125</v>
      </c>
      <c r="J105" s="65">
        <f t="shared" si="4"/>
        <v>104.9375</v>
      </c>
      <c r="K105" s="65">
        <f t="shared" si="5"/>
        <v>104.4375</v>
      </c>
      <c r="L105" s="66">
        <f t="shared" si="6"/>
        <v>101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105.125</v>
      </c>
      <c r="D106" s="1">
        <f>'Closed End Seconds (FL)'!D36</f>
        <v>104.625</v>
      </c>
      <c r="E106" s="102">
        <f>'Closed End Seconds (FL)'!E36</f>
        <v>101.25</v>
      </c>
      <c r="F106"/>
      <c r="H106" s="53">
        <v>25</v>
      </c>
      <c r="I106" s="64">
        <f t="shared" si="0"/>
        <v>10.25</v>
      </c>
      <c r="J106" s="65">
        <f t="shared" si="4"/>
        <v>105.125</v>
      </c>
      <c r="K106" s="65">
        <f t="shared" si="5"/>
        <v>104.625</v>
      </c>
      <c r="L106" s="66">
        <f t="shared" si="6"/>
        <v>101.25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105.3125</v>
      </c>
      <c r="D107" s="1">
        <f>'Closed End Seconds (FL)'!D37</f>
        <v>104.8125</v>
      </c>
      <c r="E107" s="102">
        <f>'Closed End Seconds (FL)'!E37</f>
        <v>101.5</v>
      </c>
      <c r="F107"/>
      <c r="H107" s="53">
        <v>26</v>
      </c>
      <c r="I107" s="64">
        <f t="shared" si="0"/>
        <v>10.375</v>
      </c>
      <c r="J107" s="65">
        <f t="shared" si="4"/>
        <v>105.3125</v>
      </c>
      <c r="K107" s="65">
        <f t="shared" si="5"/>
        <v>104.8125</v>
      </c>
      <c r="L107" s="66">
        <f t="shared" si="6"/>
        <v>101.5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105.5</v>
      </c>
      <c r="D108" s="1">
        <f>'Closed End Seconds (FL)'!D38</f>
        <v>105</v>
      </c>
      <c r="E108" s="102">
        <f>'Closed End Seconds (FL)'!E38</f>
        <v>102</v>
      </c>
      <c r="F108"/>
      <c r="H108" s="53">
        <v>27</v>
      </c>
      <c r="I108" s="64">
        <f t="shared" si="0"/>
        <v>10.499000000000001</v>
      </c>
      <c r="J108" s="65">
        <f t="shared" si="4"/>
        <v>105.5</v>
      </c>
      <c r="K108" s="65">
        <f t="shared" si="5"/>
        <v>105</v>
      </c>
      <c r="L108" s="66">
        <f t="shared" si="6"/>
        <v>102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105.6875</v>
      </c>
      <c r="D109" s="1">
        <f>'Closed End Seconds (FL)'!D39</f>
        <v>105.1875</v>
      </c>
      <c r="E109" s="102">
        <f>'Closed End Seconds (FL)'!E39</f>
        <v>102.5</v>
      </c>
      <c r="F109"/>
      <c r="H109" s="53">
        <v>28</v>
      </c>
      <c r="I109" s="64">
        <f t="shared" si="0"/>
        <v>10.625</v>
      </c>
      <c r="J109" s="65">
        <f t="shared" si="4"/>
        <v>105.6875</v>
      </c>
      <c r="K109" s="65">
        <f t="shared" si="5"/>
        <v>105.1875</v>
      </c>
      <c r="L109" s="66">
        <f t="shared" si="6"/>
        <v>102.5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105.875</v>
      </c>
      <c r="D110" s="1">
        <f>'Closed End Seconds (FL)'!D40</f>
        <v>105.375</v>
      </c>
      <c r="E110" s="102">
        <f>'Closed End Seconds (FL)'!E40</f>
        <v>103</v>
      </c>
      <c r="F110"/>
      <c r="H110" s="53">
        <v>29</v>
      </c>
      <c r="I110" s="64">
        <f t="shared" si="0"/>
        <v>10.75</v>
      </c>
      <c r="J110" s="65">
        <f t="shared" si="4"/>
        <v>105.875</v>
      </c>
      <c r="K110" s="65">
        <f t="shared" si="5"/>
        <v>105.375</v>
      </c>
      <c r="L110" s="66">
        <f t="shared" si="6"/>
        <v>103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106.0625</v>
      </c>
      <c r="D111" s="1">
        <f>'Closed End Seconds (FL)'!D41</f>
        <v>105.5625</v>
      </c>
      <c r="E111" s="102">
        <f>'Closed End Seconds (FL)'!E41</f>
        <v>103.5</v>
      </c>
      <c r="F111"/>
      <c r="H111" s="53">
        <v>30</v>
      </c>
      <c r="I111" s="64">
        <f t="shared" si="0"/>
        <v>10.875</v>
      </c>
      <c r="J111" s="65">
        <f t="shared" si="4"/>
        <v>106.0625</v>
      </c>
      <c r="K111" s="65">
        <f t="shared" si="5"/>
        <v>105.5625</v>
      </c>
      <c r="L111" s="66">
        <f t="shared" si="6"/>
        <v>103.5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106.25</v>
      </c>
      <c r="D112" s="1">
        <f>'Closed End Seconds (FL)'!D42</f>
        <v>105.75</v>
      </c>
      <c r="E112" s="102">
        <f>'Closed End Seconds (FL)'!E42</f>
        <v>103.75</v>
      </c>
      <c r="F112"/>
      <c r="H112" s="53">
        <v>31</v>
      </c>
      <c r="I112" s="64">
        <f t="shared" si="0"/>
        <v>10.999000000000001</v>
      </c>
      <c r="J112" s="65">
        <f t="shared" si="4"/>
        <v>106.25</v>
      </c>
      <c r="K112" s="65">
        <f t="shared" si="5"/>
        <v>105.75</v>
      </c>
      <c r="L112" s="66">
        <f t="shared" si="6"/>
        <v>103.75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106.4375</v>
      </c>
      <c r="D113" s="1">
        <f>'Closed End Seconds (FL)'!D43</f>
        <v>105.9375</v>
      </c>
      <c r="E113" s="102">
        <f>'Closed End Seconds (FL)'!E43</f>
        <v>104</v>
      </c>
      <c r="F113"/>
      <c r="H113" s="53">
        <v>32</v>
      </c>
      <c r="I113" s="64">
        <f t="shared" ref="I113:I115" si="7">B113</f>
        <v>11.125</v>
      </c>
      <c r="J113" s="65">
        <f t="shared" ref="J113:J115" si="8">C113+$G$82</f>
        <v>106.4375</v>
      </c>
      <c r="K113" s="65">
        <f t="shared" ref="K113:K115" si="9">D113+$G$82</f>
        <v>105.9375</v>
      </c>
      <c r="L113" s="66">
        <f t="shared" ref="L113:L115" si="10">E113+$G$82</f>
        <v>104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106.625</v>
      </c>
      <c r="D114" s="1">
        <f>'Closed End Seconds (FL)'!D44</f>
        <v>106.125</v>
      </c>
      <c r="E114" s="102">
        <f>'Closed End Seconds (FL)'!E44</f>
        <v>104.25</v>
      </c>
      <c r="F114"/>
      <c r="H114" s="53">
        <v>33</v>
      </c>
      <c r="I114" s="64">
        <f t="shared" si="7"/>
        <v>11.25</v>
      </c>
      <c r="J114" s="65">
        <f t="shared" si="8"/>
        <v>106.625</v>
      </c>
      <c r="K114" s="65">
        <f t="shared" si="9"/>
        <v>106.125</v>
      </c>
      <c r="L114" s="66">
        <f t="shared" si="10"/>
        <v>104.25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106.8125</v>
      </c>
      <c r="D115" s="1">
        <f>'Closed End Seconds (FL)'!D45</f>
        <v>106.3125</v>
      </c>
      <c r="E115" s="102">
        <f>'Closed End Seconds (FL)'!E45</f>
        <v>104.5</v>
      </c>
      <c r="F115"/>
      <c r="H115" s="53">
        <v>34</v>
      </c>
      <c r="I115" s="64">
        <f t="shared" si="7"/>
        <v>11.375</v>
      </c>
      <c r="J115" s="65">
        <f t="shared" si="8"/>
        <v>106.8125</v>
      </c>
      <c r="K115" s="65">
        <f t="shared" si="9"/>
        <v>106.3125</v>
      </c>
      <c r="L115" s="66">
        <f t="shared" si="10"/>
        <v>104.5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107</v>
      </c>
      <c r="D116" s="1">
        <f>'Closed End Seconds (FL)'!D46</f>
        <v>106.5</v>
      </c>
      <c r="E116" s="102">
        <f>'Closed End Seconds (FL)'!E46</f>
        <v>104.75</v>
      </c>
      <c r="F116"/>
      <c r="H116" s="53">
        <v>35</v>
      </c>
      <c r="I116" s="64">
        <f t="shared" si="0"/>
        <v>11.499000000000001</v>
      </c>
      <c r="J116" s="65">
        <f t="shared" si="4"/>
        <v>107</v>
      </c>
      <c r="K116" s="65">
        <f t="shared" si="5"/>
        <v>106.5</v>
      </c>
      <c r="L116" s="66">
        <f t="shared" si="6"/>
        <v>104.75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107.1875</v>
      </c>
      <c r="D117" s="1">
        <f>'Closed End Seconds (FL)'!D47</f>
        <v>106.6875</v>
      </c>
      <c r="E117" s="102">
        <f>'Closed End Seconds (FL)'!E47</f>
        <v>105</v>
      </c>
      <c r="F117"/>
      <c r="H117" s="53">
        <v>36</v>
      </c>
      <c r="I117" s="64">
        <f t="shared" si="0"/>
        <v>11.625</v>
      </c>
      <c r="J117" s="65">
        <f t="shared" si="4"/>
        <v>107.1875</v>
      </c>
      <c r="K117" s="65">
        <f t="shared" si="5"/>
        <v>106.6875</v>
      </c>
      <c r="L117" s="66">
        <f t="shared" si="6"/>
        <v>105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107.375</v>
      </c>
      <c r="D118" s="1">
        <f>'Closed End Seconds (FL)'!D48</f>
        <v>106.875</v>
      </c>
      <c r="E118" s="102">
        <f>'Closed End Seconds (FL)'!E48</f>
        <v>105.25</v>
      </c>
      <c r="F118"/>
      <c r="H118" s="53">
        <v>37</v>
      </c>
      <c r="I118" s="64">
        <f t="shared" si="0"/>
        <v>11.75</v>
      </c>
      <c r="J118" s="65">
        <f t="shared" si="4"/>
        <v>107.375</v>
      </c>
      <c r="K118" s="65">
        <f t="shared" si="5"/>
        <v>106.875</v>
      </c>
      <c r="L118" s="66">
        <f t="shared" si="6"/>
        <v>105.25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107.5625</v>
      </c>
      <c r="D119" s="1">
        <f>'Closed End Seconds (FL)'!D49</f>
        <v>107.0625</v>
      </c>
      <c r="E119" s="102">
        <f>'Closed End Seconds (FL)'!E49</f>
        <v>105.5</v>
      </c>
      <c r="F119"/>
      <c r="H119" s="53">
        <v>38</v>
      </c>
      <c r="I119" s="64">
        <f t="shared" si="0"/>
        <v>11.875</v>
      </c>
      <c r="J119" s="65">
        <f t="shared" si="4"/>
        <v>107.5625</v>
      </c>
      <c r="K119" s="65">
        <f t="shared" si="5"/>
        <v>107.0625</v>
      </c>
      <c r="L119" s="66">
        <f t="shared" si="6"/>
        <v>105.5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107.75</v>
      </c>
      <c r="D120" s="1">
        <f>'Closed End Seconds (FL)'!D50</f>
        <v>107.25</v>
      </c>
      <c r="E120" s="102">
        <f>'Closed End Seconds (FL)'!E50</f>
        <v>105.75</v>
      </c>
      <c r="F120"/>
      <c r="H120" s="53">
        <v>39</v>
      </c>
      <c r="I120" s="64">
        <f t="shared" si="0"/>
        <v>11.999000000000001</v>
      </c>
      <c r="J120" s="65">
        <f t="shared" si="4"/>
        <v>107.75</v>
      </c>
      <c r="K120" s="65">
        <f t="shared" si="5"/>
        <v>107.25</v>
      </c>
      <c r="L120" s="66">
        <f t="shared" si="6"/>
        <v>105.75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107.9375</v>
      </c>
      <c r="D121" s="1">
        <f>'Closed End Seconds (FL)'!D51</f>
        <v>107.4375</v>
      </c>
      <c r="E121" s="102">
        <f>'Closed End Seconds (FL)'!E51</f>
        <v>106</v>
      </c>
      <c r="F121"/>
      <c r="H121" s="53">
        <v>40</v>
      </c>
      <c r="I121" s="64">
        <f t="shared" si="0"/>
        <v>12.125</v>
      </c>
      <c r="J121" s="65">
        <f t="shared" si="4"/>
        <v>107.9375</v>
      </c>
      <c r="K121" s="65">
        <f t="shared" si="5"/>
        <v>107.4375</v>
      </c>
      <c r="L121" s="66">
        <f t="shared" si="6"/>
        <v>106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/>
      <c r="C122" s="1"/>
      <c r="D122" s="1"/>
      <c r="E122" s="102"/>
      <c r="F122"/>
      <c r="H122" s="53">
        <v>41</v>
      </c>
      <c r="I122" s="64"/>
      <c r="J122" s="65"/>
      <c r="K122" s="65"/>
      <c r="L122" s="66"/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/>
      <c r="C123" s="1"/>
      <c r="D123" s="1"/>
      <c r="E123" s="102"/>
      <c r="F123"/>
      <c r="H123" s="53">
        <v>42</v>
      </c>
      <c r="I123" s="64"/>
      <c r="J123" s="65"/>
      <c r="K123" s="65"/>
      <c r="L123" s="66"/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/>
      <c r="C124" s="1"/>
      <c r="D124" s="1"/>
      <c r="E124" s="102"/>
      <c r="F124"/>
      <c r="H124" s="53">
        <v>43</v>
      </c>
      <c r="I124" s="64"/>
      <c r="J124" s="65"/>
      <c r="K124" s="65"/>
      <c r="L124" s="66"/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/>
      <c r="C125" s="1"/>
      <c r="D125" s="1"/>
      <c r="E125" s="102"/>
      <c r="F125"/>
      <c r="H125" s="53">
        <v>44</v>
      </c>
      <c r="I125" s="64"/>
      <c r="J125" s="65"/>
      <c r="K125" s="65"/>
      <c r="L125" s="66"/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2"/>
      <c r="F126"/>
      <c r="H126" s="53">
        <v>45</v>
      </c>
      <c r="I126" s="64"/>
      <c r="J126" s="65"/>
      <c r="K126" s="65"/>
      <c r="L126" s="66"/>
      <c r="M126"/>
      <c r="N126" s="52">
        <v>0</v>
      </c>
      <c r="P126" s="78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2"/>
      <c r="F127"/>
      <c r="H127" s="53">
        <v>46</v>
      </c>
      <c r="I127" s="64"/>
      <c r="J127" s="65"/>
      <c r="K127" s="65"/>
      <c r="L127" s="66"/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6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26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268" cm="1">
        <f t="array" aca="1" ref="K129" ca="1">IFERROR(INDEX(OFFSET(K82:K126,0,-3),MATCH(TRUE,($K$82:$K$126)&gt;=IF(E136&gt;100,100,E136),0)),INDEX(OFFSET($K$82:$K$126,0,-3),MATCH(MAX($K$82:$K$126),$K$82:$K$126,0)))</f>
        <v>1</v>
      </c>
      <c r="L129" s="269" cm="1">
        <f t="array" aca="1" ref="L129" ca="1">IFERROR(INDEX(OFFSET(L92:L126,0,-4),MATCH(TRUE,($L$92:$L$126)&gt;=IF(E136&gt;100,100,E136),0)),INDEX(OFFSET($L$92:$L$126,0,-4),MATCH(MAX($L$92:$L$126),$L$92:$L$126,0)))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270">
        <f ca="1">VLOOKUP(J129,H82:I128,2,FALSE)</f>
        <v>7.25</v>
      </c>
      <c r="K130" s="271">
        <f ca="1">VLOOKUP(K129,H82:I128,2,FALSE)</f>
        <v>7.25</v>
      </c>
      <c r="L130" s="272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6" thickBot="1">
      <c r="B131"/>
      <c r="C131"/>
      <c r="D131"/>
      <c r="E131"/>
      <c r="F131"/>
      <c r="J131" s="273">
        <f>IF(G89=J81,J130,0)</f>
        <v>0</v>
      </c>
      <c r="K131" s="274">
        <f>IF(G89=K81,K130,0)</f>
        <v>0</v>
      </c>
      <c r="L131" s="275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6" thickBot="1">
      <c r="B132" s="395">
        <f>'Closed End Seconds (FL)'!S58</f>
        <v>0</v>
      </c>
      <c r="C132" s="396"/>
      <c r="D132" s="397"/>
      <c r="E132" s="169" t="s">
        <v>37</v>
      </c>
      <c r="F132"/>
      <c r="J132" s="270">
        <f ca="1">VLOOKUP(J129,H82:J128,3,FALSE)</f>
        <v>96</v>
      </c>
      <c r="K132" s="271">
        <f ca="1">VLOOKUP(K129,H82:K128,4,FALSE)</f>
        <v>95.5</v>
      </c>
      <c r="L132" s="276">
        <f ca="1">VLOOKUP(L129,H82:L128,5,FALSE)</f>
        <v>97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7" thickBot="1">
      <c r="B133" s="400">
        <f>'Closed End Seconds (FL)'!U58</f>
        <v>102</v>
      </c>
      <c r="C133" s="401"/>
      <c r="D133" s="402"/>
      <c r="E133" s="255" t="str" cm="1">
        <f t="array" ref="E133">IF(OR('Closed End Seconds (FL)'!U18=I3:I6),B133,"")</f>
        <v/>
      </c>
      <c r="F133"/>
      <c r="J133" s="277">
        <f>IF(G89=J81,J132,0)</f>
        <v>0</v>
      </c>
      <c r="K133" s="278">
        <f>IF(G89=K81,K132,0)</f>
        <v>0</v>
      </c>
      <c r="L133" s="279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70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6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6" thickBot="1">
      <c r="E136" s="97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91" t="s">
        <v>123</v>
      </c>
      <c r="J137" s="392"/>
      <c r="K137" s="83">
        <f>IF(L137="","",N133)</f>
        <v>0</v>
      </c>
      <c r="L137" s="84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6" thickBot="1">
      <c r="F138"/>
      <c r="G138"/>
      <c r="H138"/>
      <c r="I138" s="393"/>
      <c r="J138" s="394"/>
      <c r="K138" s="85"/>
      <c r="L138" s="86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1"/>
      <c r="J139" s="61"/>
      <c r="K139" s="82"/>
      <c r="L139" s="82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6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6" thickBot="1">
      <c r="B141" s="395">
        <f>'Closed End Seconds (FL)'!S59</f>
        <v>0</v>
      </c>
      <c r="C141" s="396"/>
      <c r="D141" s="397"/>
      <c r="E141" s="81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7" thickBot="1">
      <c r="B142" s="400" t="str">
        <f>'Closed End Seconds (FL)'!T59</f>
        <v>Max Rate (CA)</v>
      </c>
      <c r="C142" s="401"/>
      <c r="D142" s="402"/>
      <c r="E142" s="96" t="str">
        <f>IF(OR('Closed End Seconds (FL)'!U22=N4),B142,"")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6" thickBot="1">
      <c r="E143" s="97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6" thickBot="1">
      <c r="F144"/>
      <c r="G144"/>
      <c r="H144"/>
      <c r="I144"/>
      <c r="J144"/>
      <c r="K144"/>
      <c r="L144"/>
      <c r="M144"/>
    </row>
    <row r="145" spans="2:13" s="48" customFormat="1" ht="16" thickBot="1">
      <c r="B145" s="395">
        <f>'Closed End Seconds (FL)'!S60</f>
        <v>0</v>
      </c>
      <c r="C145" s="396"/>
      <c r="D145" s="397"/>
      <c r="E145" s="81" t="s">
        <v>37</v>
      </c>
      <c r="F145"/>
      <c r="G145"/>
      <c r="H145"/>
      <c r="I145"/>
      <c r="J145"/>
      <c r="K145"/>
      <c r="L145"/>
      <c r="M145"/>
    </row>
    <row r="146" spans="2:13" s="48" customFormat="1" ht="17" thickBot="1">
      <c r="B146" s="400" t="str">
        <f>'Closed End Seconds (FL)'!T60</f>
        <v>NC Floor Price</v>
      </c>
      <c r="C146" s="401"/>
      <c r="D146" s="402"/>
      <c r="E146" s="96" t="str">
        <f>IF(OR('Closed End Seconds (FL)'!U22=N5),B146,"")</f>
        <v/>
      </c>
      <c r="F146"/>
      <c r="G146"/>
      <c r="H146"/>
      <c r="I146"/>
      <c r="J146"/>
      <c r="K146"/>
      <c r="L146"/>
      <c r="M146"/>
    </row>
    <row r="147" spans="2:13" s="48" customFormat="1" ht="16" thickBot="1">
      <c r="E147" s="97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42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>
      <selection activeCell="J20" sqref="J20"/>
    </sheetView>
  </sheetViews>
  <sheetFormatPr baseColWidth="10" defaultColWidth="9.1640625" defaultRowHeight="15"/>
  <cols>
    <col min="1" max="1" width="2.6640625" style="55" customWidth="1"/>
    <col min="2" max="3" width="16.6640625" style="55" customWidth="1"/>
    <col min="4" max="4" width="21.6640625" style="55" customWidth="1"/>
    <col min="5" max="5" width="16.6640625" style="55" customWidth="1"/>
    <col min="6" max="6" width="2.33203125" style="55" customWidth="1"/>
    <col min="7" max="7" width="15" style="55" customWidth="1"/>
    <col min="8" max="8" width="12.5" style="55" customWidth="1"/>
    <col min="9" max="16" width="15.6640625" style="55" customWidth="1"/>
    <col min="17" max="17" width="16.33203125" style="55" bestFit="1" customWidth="1"/>
    <col min="18" max="18" width="2.5" style="55" customWidth="1"/>
    <col min="19" max="19" width="4.5" style="55" customWidth="1"/>
    <col min="20" max="21" width="22.6640625" style="55" customWidth="1"/>
    <col min="22" max="22" width="23.83203125" style="55" customWidth="1"/>
    <col min="23" max="23" width="28.5" style="55" customWidth="1"/>
    <col min="24" max="24" width="5.5" style="55" customWidth="1"/>
    <col min="25" max="25" width="12.33203125" customWidth="1"/>
    <col min="26" max="26" width="14.1640625" customWidth="1"/>
    <col min="27" max="27" width="14.5" customWidth="1"/>
    <col min="28" max="28" width="25.1640625" customWidth="1"/>
    <col min="29" max="30" width="9.1640625" customWidth="1"/>
    <col min="31" max="31" width="9.5" customWidth="1"/>
    <col min="32" max="32" width="17.1640625" customWidth="1"/>
    <col min="33" max="34" width="9.1640625" customWidth="1"/>
    <col min="35" max="46" width="9.1640625" style="55" customWidth="1"/>
    <col min="47" max="16384" width="9.1640625" style="55"/>
  </cols>
  <sheetData>
    <row r="1" spans="1:24" ht="15" customHeight="1">
      <c r="I1" s="375"/>
      <c r="J1" s="375"/>
      <c r="K1" s="375"/>
      <c r="L1" s="375"/>
      <c r="M1" s="104"/>
      <c r="N1" s="199"/>
      <c r="O1" s="151"/>
      <c r="P1" s="376" t="s">
        <v>358</v>
      </c>
      <c r="Q1" s="376"/>
      <c r="R1" s="199"/>
      <c r="T1"/>
      <c r="U1"/>
      <c r="V1"/>
      <c r="W1"/>
      <c r="X1"/>
    </row>
    <row r="2" spans="1:24" ht="15" customHeight="1">
      <c r="B2"/>
      <c r="C2"/>
      <c r="D2"/>
      <c r="I2" s="375"/>
      <c r="J2" s="375"/>
      <c r="K2" s="375"/>
      <c r="L2" s="375"/>
      <c r="M2" s="104"/>
      <c r="N2" s="199"/>
      <c r="O2" s="151"/>
      <c r="P2" s="376"/>
      <c r="Q2" s="376"/>
      <c r="R2" s="199"/>
      <c r="T2"/>
      <c r="U2"/>
      <c r="V2"/>
      <c r="W2"/>
      <c r="X2"/>
    </row>
    <row r="3" spans="1:24" ht="15" customHeight="1">
      <c r="B3"/>
      <c r="C3"/>
      <c r="D3"/>
      <c r="I3" s="158"/>
      <c r="J3" s="158"/>
      <c r="K3" s="158"/>
      <c r="L3" s="158"/>
      <c r="M3" s="105"/>
      <c r="N3" s="200"/>
      <c r="O3" s="160"/>
      <c r="P3" s="160"/>
      <c r="Q3" s="159" t="s">
        <v>159</v>
      </c>
      <c r="R3" s="200"/>
    </row>
    <row r="4" spans="1:24" ht="15" customHeight="1">
      <c r="B4"/>
      <c r="C4"/>
      <c r="D4"/>
      <c r="I4" s="158"/>
      <c r="J4" s="158"/>
      <c r="K4" s="158"/>
      <c r="L4" s="158"/>
      <c r="M4" s="106"/>
      <c r="N4" s="201"/>
      <c r="O4" s="377" t="s">
        <v>43</v>
      </c>
      <c r="P4" s="377"/>
      <c r="Q4" s="377"/>
      <c r="R4" s="201"/>
      <c r="U4" s="103"/>
      <c r="V4" s="103"/>
    </row>
    <row r="5" spans="1:24">
      <c r="L5" s="107"/>
      <c r="M5" s="107"/>
      <c r="N5" s="202"/>
      <c r="O5" s="140"/>
      <c r="P5" s="140"/>
      <c r="Q5" s="140"/>
      <c r="R5" s="209"/>
      <c r="U5"/>
      <c r="V5"/>
    </row>
    <row r="6" spans="1:24" ht="14.25" customHeight="1" thickBot="1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203"/>
      <c r="O6" s="152" t="s">
        <v>359</v>
      </c>
      <c r="P6" s="378">
        <v>46318</v>
      </c>
      <c r="Q6" s="378"/>
      <c r="R6" s="141"/>
      <c r="S6" s="148"/>
      <c r="T6" s="148"/>
      <c r="U6" s="148"/>
      <c r="V6" s="148"/>
      <c r="W6" s="148"/>
      <c r="X6" s="148"/>
    </row>
    <row r="7" spans="1:24" ht="30.75" customHeight="1" thickBot="1">
      <c r="A7" s="217"/>
      <c r="B7" s="287" t="s">
        <v>275</v>
      </c>
      <c r="C7" s="288"/>
      <c r="D7" s="288"/>
      <c r="E7" s="289"/>
      <c r="F7" s="249"/>
      <c r="G7" s="385" t="s">
        <v>125</v>
      </c>
      <c r="H7" s="386"/>
      <c r="I7" s="386"/>
      <c r="J7" s="386"/>
      <c r="K7" s="386"/>
      <c r="L7" s="386"/>
      <c r="M7" s="386"/>
      <c r="N7" s="386"/>
      <c r="O7" s="386"/>
      <c r="P7" s="386"/>
      <c r="Q7" s="387"/>
      <c r="R7" s="208"/>
      <c r="S7" s="367" t="s">
        <v>284</v>
      </c>
      <c r="T7" s="368"/>
      <c r="U7" s="368"/>
      <c r="V7" s="368"/>
      <c r="W7" s="369"/>
      <c r="X7" s="222"/>
    </row>
    <row r="8" spans="1:24" ht="15.75" customHeight="1" thickBot="1">
      <c r="A8" s="218"/>
      <c r="B8" s="290"/>
      <c r="C8" s="291"/>
      <c r="D8" s="291"/>
      <c r="E8" s="292"/>
      <c r="F8" s="186"/>
      <c r="G8" s="388"/>
      <c r="H8" s="389"/>
      <c r="I8" s="389"/>
      <c r="J8" s="389"/>
      <c r="K8" s="389"/>
      <c r="L8" s="389"/>
      <c r="M8" s="389"/>
      <c r="N8" s="389"/>
      <c r="O8" s="389"/>
      <c r="P8" s="389"/>
      <c r="Q8" s="390"/>
      <c r="R8" s="186"/>
      <c r="S8" s="370"/>
      <c r="T8" s="371"/>
      <c r="U8" s="371"/>
      <c r="V8" s="371"/>
      <c r="W8" s="372"/>
      <c r="X8" s="223"/>
    </row>
    <row r="9" spans="1:24" ht="15.75" customHeight="1" thickBot="1">
      <c r="A9" s="218"/>
      <c r="B9" s="211"/>
      <c r="C9" s="211"/>
      <c r="D9" s="211"/>
      <c r="E9" s="211"/>
      <c r="F9" s="219"/>
      <c r="G9" s="180"/>
      <c r="H9" s="211"/>
      <c r="I9" s="211"/>
      <c r="J9" s="211"/>
      <c r="K9" s="211"/>
      <c r="L9" s="211"/>
      <c r="M9" s="211"/>
      <c r="N9" s="211"/>
      <c r="O9" s="211"/>
      <c r="P9" s="211"/>
      <c r="Q9" s="212"/>
      <c r="R9" s="186"/>
      <c r="S9" s="298" t="s">
        <v>119</v>
      </c>
      <c r="T9" s="299"/>
      <c r="U9" s="248">
        <v>0</v>
      </c>
      <c r="V9" s="224"/>
      <c r="W9" s="234"/>
      <c r="X9" s="225"/>
    </row>
    <row r="10" spans="1:24" ht="15.75" customHeight="1">
      <c r="A10" s="218"/>
      <c r="B10" s="293" t="s">
        <v>276</v>
      </c>
      <c r="C10" s="293"/>
      <c r="D10" s="293"/>
      <c r="E10" s="293"/>
      <c r="F10" s="219"/>
      <c r="G10" s="382" t="s">
        <v>360</v>
      </c>
      <c r="H10" s="383"/>
      <c r="I10" s="383"/>
      <c r="J10" s="383"/>
      <c r="K10" s="383"/>
      <c r="L10" s="383"/>
      <c r="M10" s="383"/>
      <c r="N10" s="383"/>
      <c r="O10" s="383"/>
      <c r="P10" s="383"/>
      <c r="Q10" s="384"/>
      <c r="R10" s="186"/>
      <c r="S10" s="298" t="s">
        <v>1</v>
      </c>
      <c r="T10" s="299"/>
      <c r="U10" s="143" t="s">
        <v>27</v>
      </c>
      <c r="V10" s="224"/>
      <c r="W10" s="234"/>
      <c r="X10" s="226"/>
    </row>
    <row r="11" spans="1:24" ht="14.25" customHeight="1">
      <c r="A11" s="218"/>
      <c r="B11" s="153" t="s">
        <v>361</v>
      </c>
      <c r="C11" s="154" t="s">
        <v>28</v>
      </c>
      <c r="D11" s="154" t="s">
        <v>4</v>
      </c>
      <c r="E11" s="154" t="s">
        <v>186</v>
      </c>
      <c r="F11" s="219"/>
      <c r="G11" s="156"/>
      <c r="H11" s="210"/>
      <c r="I11" s="155" t="s">
        <v>289</v>
      </c>
      <c r="J11" s="155" t="s">
        <v>134</v>
      </c>
      <c r="K11" s="155" t="s">
        <v>135</v>
      </c>
      <c r="L11" s="155" t="s">
        <v>136</v>
      </c>
      <c r="M11" s="155" t="s">
        <v>137</v>
      </c>
      <c r="N11" s="155" t="s">
        <v>138</v>
      </c>
      <c r="O11" s="155" t="s">
        <v>139</v>
      </c>
      <c r="P11" s="155" t="s">
        <v>140</v>
      </c>
      <c r="Q11" s="157" t="s">
        <v>141</v>
      </c>
      <c r="R11" s="186"/>
      <c r="S11" s="298" t="s">
        <v>2</v>
      </c>
      <c r="T11" s="299"/>
      <c r="U11" s="143" t="s">
        <v>27</v>
      </c>
      <c r="V11" s="193">
        <f>IF(U11="Choose a Selection",0,IF(OR(U10='Feed(WS)'!B3),INDEX(I12:I19,MATCH(U11,G12:G19,0)),INDEX(I12:Q19,MATCH(U11,G12:G19,0),MATCH(U10,I11:Q11,0))))</f>
        <v>0</v>
      </c>
      <c r="W11" s="234"/>
      <c r="X11" s="226"/>
    </row>
    <row r="12" spans="1:24" ht="15" customHeight="1">
      <c r="A12" s="218"/>
      <c r="B12" s="182">
        <v>7.25</v>
      </c>
      <c r="C12" s="147">
        <v>96</v>
      </c>
      <c r="D12" s="147">
        <v>95.5</v>
      </c>
      <c r="E12" s="183" t="e">
        <v>#N/A</v>
      </c>
      <c r="F12" s="219"/>
      <c r="G12" s="365" t="s">
        <v>126</v>
      </c>
      <c r="H12" s="366"/>
      <c r="I12" s="168">
        <v>1</v>
      </c>
      <c r="J12" s="168">
        <v>0.25</v>
      </c>
      <c r="K12" s="168">
        <v>0.125</v>
      </c>
      <c r="L12" s="168">
        <v>-0.125</v>
      </c>
      <c r="M12" s="168">
        <v>-0.25</v>
      </c>
      <c r="N12" s="168">
        <v>-0.75</v>
      </c>
      <c r="O12" s="168">
        <v>-1.125</v>
      </c>
      <c r="P12" s="168">
        <v>-3</v>
      </c>
      <c r="Q12" s="178">
        <v>-5</v>
      </c>
      <c r="R12" s="186"/>
      <c r="S12" s="373" t="s">
        <v>147</v>
      </c>
      <c r="T12" s="374"/>
      <c r="U12" s="143" t="s">
        <v>27</v>
      </c>
      <c r="V12" s="193">
        <f>IF(U12="Choose a Selection",0,INDEX($G$23:$Q$24,MATCH($U$12,$G$23:$G$24,0),MATCH($U$10,$G$11:$Q$11,0)))</f>
        <v>0</v>
      </c>
      <c r="W12" s="234"/>
      <c r="X12" s="227"/>
    </row>
    <row r="13" spans="1:24" ht="15.75" customHeight="1">
      <c r="A13" s="218"/>
      <c r="B13" s="182">
        <v>7.375</v>
      </c>
      <c r="C13" s="147">
        <v>96.625</v>
      </c>
      <c r="D13" s="147">
        <v>96.125</v>
      </c>
      <c r="E13" s="183" t="e">
        <v>#N/A</v>
      </c>
      <c r="F13" s="219"/>
      <c r="G13" s="365" t="s">
        <v>127</v>
      </c>
      <c r="H13" s="366"/>
      <c r="I13" s="168">
        <v>0.875</v>
      </c>
      <c r="J13" s="168">
        <v>0.125</v>
      </c>
      <c r="K13" s="168">
        <v>-0.125</v>
      </c>
      <c r="L13" s="168">
        <v>-0.25</v>
      </c>
      <c r="M13" s="168">
        <v>-0.375</v>
      </c>
      <c r="N13" s="168">
        <v>-1</v>
      </c>
      <c r="O13" s="168">
        <v>-1.375</v>
      </c>
      <c r="P13" s="168">
        <v>-3.25</v>
      </c>
      <c r="Q13" s="178">
        <v>-5.5</v>
      </c>
      <c r="R13" s="186"/>
      <c r="S13" s="373" t="s">
        <v>3</v>
      </c>
      <c r="T13" s="374"/>
      <c r="U13" s="143" t="s">
        <v>27</v>
      </c>
      <c r="V13" s="193">
        <f>IF(OR(U13="Choose a Selection",U13='Feed(WS)'!C4,U13='Feed(WS)'!C5,U13='Feed(WS)'!C6),0,INDEX($G$26:$Q$31,MATCH($U$13,$G$26:$G$31,0),MATCH($U$10,$G$11:$Q$11,0)))</f>
        <v>0</v>
      </c>
      <c r="W13" s="235">
        <f>'Feed(WS)'!B64</f>
        <v>0</v>
      </c>
      <c r="X13" s="228"/>
    </row>
    <row r="14" spans="1:24" ht="15.75" customHeight="1">
      <c r="A14" s="218"/>
      <c r="B14" s="182">
        <v>7.4989999999999997</v>
      </c>
      <c r="C14" s="147">
        <v>97.25</v>
      </c>
      <c r="D14" s="147">
        <v>96.75</v>
      </c>
      <c r="E14" s="183" t="e">
        <v>#N/A</v>
      </c>
      <c r="F14" s="219"/>
      <c r="G14" s="365" t="s">
        <v>128</v>
      </c>
      <c r="H14" s="366"/>
      <c r="I14" s="168">
        <v>0.75</v>
      </c>
      <c r="J14" s="168">
        <v>-0.125</v>
      </c>
      <c r="K14" s="168">
        <v>-0.25</v>
      </c>
      <c r="L14" s="168">
        <v>-0.375</v>
      </c>
      <c r="M14" s="168">
        <v>-0.625</v>
      </c>
      <c r="N14" s="168">
        <v>-1.375</v>
      </c>
      <c r="O14" s="168">
        <v>-1.625</v>
      </c>
      <c r="P14" s="168">
        <v>-3.75</v>
      </c>
      <c r="Q14" s="178">
        <v>-6.25</v>
      </c>
      <c r="R14" s="186"/>
      <c r="S14" s="373" t="s">
        <v>188</v>
      </c>
      <c r="T14" s="374"/>
      <c r="U14" s="143" t="s">
        <v>27</v>
      </c>
      <c r="V14" s="193">
        <f>IF(OR(U14="Choose a Selection",U14='Feed(WS)'!D3),0,INDEX($G$26:$Q$31,MATCH($U$14,$G$26:$G$31,0),MATCH($U$10,$G$11:$Q$11,0)))</f>
        <v>0</v>
      </c>
      <c r="W14" s="235"/>
      <c r="X14" s="228"/>
    </row>
    <row r="15" spans="1:24" ht="15" customHeight="1">
      <c r="A15" s="218"/>
      <c r="B15" s="182">
        <v>7.625</v>
      </c>
      <c r="C15" s="147">
        <v>97.875</v>
      </c>
      <c r="D15" s="147">
        <v>97.375</v>
      </c>
      <c r="E15" s="183" t="e">
        <v>#N/A</v>
      </c>
      <c r="F15" s="219"/>
      <c r="G15" s="365" t="s">
        <v>129</v>
      </c>
      <c r="H15" s="366"/>
      <c r="I15" s="168">
        <v>0.5</v>
      </c>
      <c r="J15" s="168">
        <v>-0.25</v>
      </c>
      <c r="K15" s="168">
        <v>-0.375</v>
      </c>
      <c r="L15" s="168">
        <v>-0.625</v>
      </c>
      <c r="M15" s="168">
        <v>-1.125</v>
      </c>
      <c r="N15" s="168">
        <v>-1.625</v>
      </c>
      <c r="O15" s="168">
        <v>-2.25</v>
      </c>
      <c r="P15" s="168">
        <v>-4.75</v>
      </c>
      <c r="Q15" s="178">
        <v>-7.5</v>
      </c>
      <c r="R15" s="186"/>
      <c r="S15" s="298" t="s">
        <v>5</v>
      </c>
      <c r="T15" s="299"/>
      <c r="U15" s="143" t="s">
        <v>27</v>
      </c>
      <c r="V15" s="193" cm="1">
        <f t="array" ref="V15">IF(U15="Choose a Selection",0,IF(OR(U15='Feed(WS)'!L3:L5),0,INDEX($G$47:$Q$48,MATCH($U$15,$G$47:$G$48,0),MATCH($U$10,$G$11:$Q$11,0))))</f>
        <v>0</v>
      </c>
      <c r="W15" s="236"/>
      <c r="X15" s="229"/>
    </row>
    <row r="16" spans="1:24" ht="14.25" customHeight="1">
      <c r="A16" s="218"/>
      <c r="B16" s="182">
        <v>7.75</v>
      </c>
      <c r="C16" s="147">
        <v>98.375</v>
      </c>
      <c r="D16" s="147">
        <v>97.875</v>
      </c>
      <c r="E16" s="183" t="e">
        <v>#N/A</v>
      </c>
      <c r="F16" s="219"/>
      <c r="G16" s="365" t="s">
        <v>130</v>
      </c>
      <c r="H16" s="366"/>
      <c r="I16" s="168">
        <v>0.25</v>
      </c>
      <c r="J16" s="168">
        <v>-0.375</v>
      </c>
      <c r="K16" s="168">
        <v>-0.875</v>
      </c>
      <c r="L16" s="168">
        <v>-1.125</v>
      </c>
      <c r="M16" s="168">
        <v>-1.5</v>
      </c>
      <c r="N16" s="168">
        <v>-2</v>
      </c>
      <c r="O16" s="168">
        <v>-3</v>
      </c>
      <c r="P16" s="168">
        <v>-6</v>
      </c>
      <c r="Q16" s="178">
        <v>-9.25</v>
      </c>
      <c r="R16" s="186"/>
      <c r="S16" s="298" t="s">
        <v>7</v>
      </c>
      <c r="T16" s="299"/>
      <c r="U16" s="143" t="s">
        <v>27</v>
      </c>
      <c r="V16" s="193">
        <f>IF(U16="Choose a Selection",0,IF(OR(U16='Feed(WS)'!E6),0,INDEX($G$43:$Q$45,MATCH($U$16,$G$43:$G$45,0),MATCH($U$10,$G$11:$Q$11,0))))</f>
        <v>0</v>
      </c>
      <c r="W16" s="237"/>
      <c r="X16" s="230"/>
    </row>
    <row r="17" spans="1:24" ht="15" customHeight="1">
      <c r="A17" s="218"/>
      <c r="B17" s="182">
        <v>7.875</v>
      </c>
      <c r="C17" s="147">
        <v>98.875</v>
      </c>
      <c r="D17" s="147">
        <v>98.375</v>
      </c>
      <c r="E17" s="183" t="e">
        <v>#N/A</v>
      </c>
      <c r="F17" s="219"/>
      <c r="G17" s="365" t="s">
        <v>131</v>
      </c>
      <c r="H17" s="366"/>
      <c r="I17" s="168">
        <v>-0.375</v>
      </c>
      <c r="J17" s="168">
        <v>-1</v>
      </c>
      <c r="K17" s="168">
        <v>-1.5</v>
      </c>
      <c r="L17" s="168">
        <v>-2</v>
      </c>
      <c r="M17" s="168">
        <v>-2.375</v>
      </c>
      <c r="N17" s="168">
        <v>-3</v>
      </c>
      <c r="O17" s="168">
        <v>-4.5</v>
      </c>
      <c r="P17" s="168">
        <v>-7.25</v>
      </c>
      <c r="Q17" s="178">
        <v>-10.5</v>
      </c>
      <c r="R17" s="186"/>
      <c r="S17" s="298" t="s">
        <v>8</v>
      </c>
      <c r="T17" s="299"/>
      <c r="U17" s="144" t="s">
        <v>27</v>
      </c>
      <c r="V17" s="193">
        <f>IF(OR(U17="Choose a Selection",U17='Feed(WS)'!F2),0,INDEX($G$36:$Q$41,MATCH($U$17,$G$36:$G$41,0),MATCH($U$10,$G$11:$Q$11,0)))</f>
        <v>0</v>
      </c>
      <c r="W17" s="238"/>
      <c r="X17" s="230"/>
    </row>
    <row r="18" spans="1:24" ht="15" customHeight="1">
      <c r="A18" s="218"/>
      <c r="B18" s="182">
        <v>7.9989999999999997</v>
      </c>
      <c r="C18" s="147">
        <v>99.375</v>
      </c>
      <c r="D18" s="147">
        <v>98.875</v>
      </c>
      <c r="E18" s="183" t="e">
        <v>#N/A</v>
      </c>
      <c r="F18" s="219"/>
      <c r="G18" s="365" t="s">
        <v>132</v>
      </c>
      <c r="H18" s="366"/>
      <c r="I18" s="168">
        <v>-2</v>
      </c>
      <c r="J18" s="168">
        <v>-2.25</v>
      </c>
      <c r="K18" s="168">
        <v>-2.75</v>
      </c>
      <c r="L18" s="168">
        <v>-3.25</v>
      </c>
      <c r="M18" s="168">
        <v>-3.625</v>
      </c>
      <c r="N18" s="168">
        <v>-4.25</v>
      </c>
      <c r="O18" s="168">
        <v>-6.75</v>
      </c>
      <c r="P18" s="168">
        <v>-9</v>
      </c>
      <c r="Q18" s="177" t="e">
        <v>#N/A</v>
      </c>
      <c r="R18" s="186"/>
      <c r="S18" s="298" t="s">
        <v>9</v>
      </c>
      <c r="T18" s="299"/>
      <c r="U18" s="143" t="s">
        <v>27</v>
      </c>
      <c r="V18" s="193">
        <f>IF(U13="DSCR",0,IF(U18="Choose a Selection",0,IF(OR(U18='Feed(WS)'!I3),0,INDEX($G$33:$Q$34,MATCH($U$18,$G$33:$G$34,0),MATCH($U$10,$G$11:$Q$11,0)))))</f>
        <v>0</v>
      </c>
      <c r="W18" s="239"/>
      <c r="X18" s="231"/>
    </row>
    <row r="19" spans="1:24" ht="15.75" customHeight="1">
      <c r="A19" s="218"/>
      <c r="B19" s="182">
        <v>8.125</v>
      </c>
      <c r="C19" s="147">
        <v>99.8125</v>
      </c>
      <c r="D19" s="147">
        <v>99.3125</v>
      </c>
      <c r="E19" s="183" t="e">
        <v>#N/A</v>
      </c>
      <c r="F19" s="220"/>
      <c r="G19" s="365" t="s">
        <v>133</v>
      </c>
      <c r="H19" s="366"/>
      <c r="I19" s="168">
        <v>-3</v>
      </c>
      <c r="J19" s="168">
        <v>-3.25</v>
      </c>
      <c r="K19" s="168">
        <v>-3.75</v>
      </c>
      <c r="L19" s="168">
        <v>-4.25</v>
      </c>
      <c r="M19" s="168">
        <v>-4.625</v>
      </c>
      <c r="N19" s="168">
        <v>-5.75</v>
      </c>
      <c r="O19" s="168">
        <v>-7.75</v>
      </c>
      <c r="P19" s="176" t="e">
        <v>#N/A</v>
      </c>
      <c r="Q19" s="177" t="e">
        <v>#N/A</v>
      </c>
      <c r="R19" s="185"/>
      <c r="S19" s="298" t="s">
        <v>10</v>
      </c>
      <c r="T19" s="299"/>
      <c r="U19" s="143" t="s">
        <v>27</v>
      </c>
      <c r="V19" s="193">
        <f>IF(U19="Choose a Selection",0,IF(OR(U19='Feed(WS)'!H3),0,INDEX($G$50:$Q$52,MATCH($U$19,$G$50:$G$52,0),MATCH($U$10,$G$11:$Q$11,0))))</f>
        <v>0</v>
      </c>
      <c r="W19" s="239"/>
      <c r="X19" s="231"/>
    </row>
    <row r="20" spans="1:24" ht="15.75" customHeight="1">
      <c r="A20" s="218"/>
      <c r="B20" s="182">
        <v>8.25</v>
      </c>
      <c r="C20" s="147">
        <v>100.25</v>
      </c>
      <c r="D20" s="147">
        <v>99.75</v>
      </c>
      <c r="E20" s="183" t="e">
        <v>#N/A</v>
      </c>
      <c r="F20" s="219"/>
      <c r="G20" s="180"/>
      <c r="H20" s="211"/>
      <c r="I20" s="213"/>
      <c r="J20" s="213"/>
      <c r="K20" s="213"/>
      <c r="L20" s="213"/>
      <c r="M20" s="213"/>
      <c r="N20" s="213"/>
      <c r="O20" s="213"/>
      <c r="P20" s="213"/>
      <c r="Q20" s="192"/>
      <c r="R20" s="186"/>
      <c r="S20" s="298" t="s">
        <v>11</v>
      </c>
      <c r="T20" s="299"/>
      <c r="U20" s="143" t="s">
        <v>36</v>
      </c>
      <c r="V20" s="193">
        <f>INDEX($W$58:$W$60,MATCH($U$20,$V$58:$V$60,0))</f>
        <v>0</v>
      </c>
      <c r="W20" s="240"/>
      <c r="X20" s="232"/>
    </row>
    <row r="21" spans="1:24" ht="15.75" customHeight="1">
      <c r="A21" s="218"/>
      <c r="B21" s="182">
        <v>8.375</v>
      </c>
      <c r="C21" s="147">
        <v>100.6875</v>
      </c>
      <c r="D21" s="147">
        <v>100.1875</v>
      </c>
      <c r="E21" s="183" t="e">
        <v>#N/A</v>
      </c>
      <c r="F21" s="219"/>
      <c r="G21" s="379" t="s">
        <v>285</v>
      </c>
      <c r="H21" s="380"/>
      <c r="I21" s="380"/>
      <c r="J21" s="380"/>
      <c r="K21" s="380"/>
      <c r="L21" s="380"/>
      <c r="M21" s="380"/>
      <c r="N21" s="380"/>
      <c r="O21" s="380"/>
      <c r="P21" s="380"/>
      <c r="Q21" s="381"/>
      <c r="R21" s="186"/>
      <c r="S21" s="298" t="s">
        <v>352</v>
      </c>
      <c r="T21" s="299"/>
      <c r="U21" s="143" t="s">
        <v>27</v>
      </c>
      <c r="V21" s="193">
        <f>IF(U13&lt;&gt;"DSCR",0,IF($U$10="","",IF($U$21="Choose a Selection",0,INDEX($I$54:$Q$56,MATCH($U$21,$G$54:$G$56,0),MATCH($U$10,$I$11:$Q$11,0)))))</f>
        <v>0</v>
      </c>
      <c r="W21" s="240"/>
      <c r="X21" s="232"/>
    </row>
    <row r="22" spans="1:24" ht="15.75" customHeight="1" thickBot="1">
      <c r="A22" s="218"/>
      <c r="B22" s="182">
        <v>8.4990000000000006</v>
      </c>
      <c r="C22" s="147">
        <v>101.125</v>
      </c>
      <c r="D22" s="147">
        <v>100.625</v>
      </c>
      <c r="E22" s="147">
        <v>97</v>
      </c>
      <c r="F22" s="219"/>
      <c r="G22" s="362" t="s">
        <v>147</v>
      </c>
      <c r="H22" s="363"/>
      <c r="I22" s="363"/>
      <c r="J22" s="363"/>
      <c r="K22" s="363"/>
      <c r="L22" s="363"/>
      <c r="M22" s="363"/>
      <c r="N22" s="363"/>
      <c r="O22" s="363"/>
      <c r="P22" s="363"/>
      <c r="Q22" s="364"/>
      <c r="R22" s="186"/>
      <c r="S22" s="298" t="s">
        <v>12</v>
      </c>
      <c r="T22" s="299"/>
      <c r="U22" s="143" t="s">
        <v>27</v>
      </c>
      <c r="V22" s="193">
        <v>0</v>
      </c>
      <c r="W22" s="241"/>
      <c r="X22" s="229"/>
    </row>
    <row r="23" spans="1:24" ht="15.75" customHeight="1">
      <c r="A23" s="218"/>
      <c r="B23" s="182">
        <v>8.625</v>
      </c>
      <c r="C23" s="147">
        <v>101.5625</v>
      </c>
      <c r="D23" s="147">
        <v>101.0625</v>
      </c>
      <c r="E23" s="147">
        <v>97.375</v>
      </c>
      <c r="F23" s="219"/>
      <c r="G23" s="360" t="s">
        <v>148</v>
      </c>
      <c r="H23" s="361"/>
      <c r="I23" s="168">
        <v>0</v>
      </c>
      <c r="J23" s="168">
        <v>0</v>
      </c>
      <c r="K23" s="168">
        <v>0</v>
      </c>
      <c r="L23" s="168">
        <v>0</v>
      </c>
      <c r="M23" s="168">
        <v>0</v>
      </c>
      <c r="N23" s="168">
        <v>0</v>
      </c>
      <c r="O23" s="168">
        <v>0</v>
      </c>
      <c r="P23" s="168">
        <v>0</v>
      </c>
      <c r="Q23" s="178">
        <v>0</v>
      </c>
      <c r="R23" s="186"/>
      <c r="S23" s="298" t="s">
        <v>160</v>
      </c>
      <c r="T23" s="299"/>
      <c r="U23" s="145" t="s">
        <v>27</v>
      </c>
      <c r="V23" s="194">
        <v>0</v>
      </c>
      <c r="W23" s="241"/>
      <c r="X23" s="229"/>
    </row>
    <row r="24" spans="1:24" ht="15.75" customHeight="1" thickBot="1">
      <c r="A24" s="218"/>
      <c r="B24" s="182">
        <v>8.75</v>
      </c>
      <c r="C24" s="147">
        <v>102</v>
      </c>
      <c r="D24" s="147">
        <v>101.5</v>
      </c>
      <c r="E24" s="147">
        <v>97.75</v>
      </c>
      <c r="F24" s="219"/>
      <c r="G24" s="280" t="s">
        <v>149</v>
      </c>
      <c r="H24" s="281"/>
      <c r="I24" s="168">
        <v>-0.5</v>
      </c>
      <c r="J24" s="168">
        <v>-0.5</v>
      </c>
      <c r="K24" s="168">
        <v>-0.5</v>
      </c>
      <c r="L24" s="168">
        <v>-0.5</v>
      </c>
      <c r="M24" s="168">
        <v>-0.75</v>
      </c>
      <c r="N24" s="168">
        <v>-0.75</v>
      </c>
      <c r="O24" s="168">
        <v>-0.75</v>
      </c>
      <c r="P24" s="168">
        <v>-1</v>
      </c>
      <c r="Q24" s="178">
        <v>-1.25</v>
      </c>
      <c r="R24" s="186"/>
      <c r="S24" s="298" t="s">
        <v>161</v>
      </c>
      <c r="T24" s="299"/>
      <c r="U24" s="145" t="s">
        <v>27</v>
      </c>
      <c r="V24" s="194">
        <v>0</v>
      </c>
      <c r="W24" s="241"/>
      <c r="X24" s="229"/>
    </row>
    <row r="25" spans="1:24" ht="15" customHeight="1" thickBot="1">
      <c r="A25" s="218"/>
      <c r="B25" s="182">
        <v>8.875</v>
      </c>
      <c r="C25" s="147">
        <v>102.375</v>
      </c>
      <c r="D25" s="147">
        <v>101.875</v>
      </c>
      <c r="E25" s="147">
        <v>98.125</v>
      </c>
      <c r="F25" s="219"/>
      <c r="G25" s="321" t="s">
        <v>277</v>
      </c>
      <c r="H25" s="322"/>
      <c r="I25" s="322"/>
      <c r="J25" s="322"/>
      <c r="K25" s="322"/>
      <c r="L25" s="322"/>
      <c r="M25" s="322"/>
      <c r="N25" s="322"/>
      <c r="O25" s="322"/>
      <c r="P25" s="322"/>
      <c r="Q25" s="323"/>
      <c r="R25" s="186"/>
      <c r="S25" s="296" t="s">
        <v>14</v>
      </c>
      <c r="T25" s="297"/>
      <c r="U25" s="145" t="s">
        <v>15</v>
      </c>
      <c r="V25" s="194">
        <f>INDEX($D$57:$D$59,MATCH($U$25,$B$57:$B$59,0))</f>
        <v>0</v>
      </c>
      <c r="W25" s="241"/>
      <c r="X25" s="229"/>
    </row>
    <row r="26" spans="1:24" ht="15.75" customHeight="1" thickBot="1">
      <c r="A26" s="218"/>
      <c r="B26" s="182">
        <v>8.9990000000000006</v>
      </c>
      <c r="C26" s="147">
        <v>102.75</v>
      </c>
      <c r="D26" s="147">
        <v>102.25</v>
      </c>
      <c r="E26" s="147">
        <v>98.5</v>
      </c>
      <c r="F26" s="219"/>
      <c r="G26" s="280" t="s">
        <v>170</v>
      </c>
      <c r="H26" s="281"/>
      <c r="I26" s="168">
        <v>0.75</v>
      </c>
      <c r="J26" s="168">
        <v>0.5</v>
      </c>
      <c r="K26" s="168">
        <v>0.5</v>
      </c>
      <c r="L26" s="168">
        <v>0.5</v>
      </c>
      <c r="M26" s="168">
        <v>0.5</v>
      </c>
      <c r="N26" s="168">
        <v>0.5</v>
      </c>
      <c r="O26" s="168">
        <v>0.5</v>
      </c>
      <c r="P26" s="168" t="s">
        <v>362</v>
      </c>
      <c r="Q26" s="178" t="s">
        <v>362</v>
      </c>
      <c r="R26" s="186"/>
      <c r="S26" s="296" t="str">
        <f>IF(V26=0,"","CES Special")</f>
        <v/>
      </c>
      <c r="T26" s="297"/>
      <c r="U26" s="146" t="str">
        <f>IF(V26=0,"Not Applicable","Yes")</f>
        <v>Not Applicable</v>
      </c>
      <c r="V26" s="194">
        <f>'Feed(WS)'!B67</f>
        <v>0</v>
      </c>
      <c r="W26" s="241"/>
      <c r="X26" s="229"/>
    </row>
    <row r="27" spans="1:24" ht="15.75" customHeight="1" thickBot="1">
      <c r="A27" s="218"/>
      <c r="B27" s="182">
        <v>9.125</v>
      </c>
      <c r="C27" s="147">
        <v>103.125</v>
      </c>
      <c r="D27" s="147">
        <v>102.625</v>
      </c>
      <c r="E27" s="147">
        <v>98.875</v>
      </c>
      <c r="F27" s="219"/>
      <c r="G27" s="280" t="s">
        <v>236</v>
      </c>
      <c r="H27" s="281"/>
      <c r="I27" s="168">
        <v>-0.5</v>
      </c>
      <c r="J27" s="168">
        <v>-0.75</v>
      </c>
      <c r="K27" s="168">
        <v>-0.75</v>
      </c>
      <c r="L27" s="168">
        <v>-0.75</v>
      </c>
      <c r="M27" s="168">
        <v>-0.75</v>
      </c>
      <c r="N27" s="168">
        <v>-0.75</v>
      </c>
      <c r="O27" s="168">
        <v>-0.75</v>
      </c>
      <c r="P27" s="168">
        <v>-1</v>
      </c>
      <c r="Q27" s="178">
        <v>-1</v>
      </c>
      <c r="R27" s="186"/>
      <c r="S27" s="308" t="s">
        <v>16</v>
      </c>
      <c r="T27" s="309"/>
      <c r="U27" s="310"/>
      <c r="V27" s="195">
        <f>SUM(V11:V26)+W13</f>
        <v>0</v>
      </c>
      <c r="W27" s="236"/>
      <c r="X27" s="229"/>
    </row>
    <row r="28" spans="1:24" ht="17.25" customHeight="1">
      <c r="A28" s="218"/>
      <c r="B28" s="182">
        <v>9.25</v>
      </c>
      <c r="C28" s="147">
        <v>103.5</v>
      </c>
      <c r="D28" s="147">
        <v>103</v>
      </c>
      <c r="E28" s="147">
        <v>99.25</v>
      </c>
      <c r="F28" s="219"/>
      <c r="G28" s="280" t="s">
        <v>189</v>
      </c>
      <c r="H28" s="281"/>
      <c r="I28" s="168">
        <v>-0.5</v>
      </c>
      <c r="J28" s="168">
        <v>-0.75</v>
      </c>
      <c r="K28" s="168">
        <v>-0.75</v>
      </c>
      <c r="L28" s="168">
        <v>-0.75</v>
      </c>
      <c r="M28" s="168">
        <v>-0.75</v>
      </c>
      <c r="N28" s="168">
        <v>-0.75</v>
      </c>
      <c r="O28" s="168">
        <v>-0.75</v>
      </c>
      <c r="P28" s="168">
        <v>-1</v>
      </c>
      <c r="Q28" s="178">
        <v>-1</v>
      </c>
      <c r="R28" s="186"/>
      <c r="S28" s="311" t="s">
        <v>17</v>
      </c>
      <c r="T28" s="312"/>
      <c r="U28" s="313"/>
      <c r="V28" s="196" t="e">
        <f>INDEX(B11:E56,MATCH(U9,B11:B56,0),MATCH(IF(U13='Feed(WS)'!C3,'Feed(WS)'!C4,U13),C11:E11,0)+1)</f>
        <v>#N/A</v>
      </c>
      <c r="W28" s="241"/>
      <c r="X28" s="229"/>
    </row>
    <row r="29" spans="1:24" ht="17">
      <c r="A29" s="218"/>
      <c r="B29" s="182">
        <v>9.375</v>
      </c>
      <c r="C29" s="147">
        <v>103.75</v>
      </c>
      <c r="D29" s="147">
        <v>103.25</v>
      </c>
      <c r="E29" s="147">
        <v>99.5</v>
      </c>
      <c r="F29" s="219"/>
      <c r="G29" s="280" t="s">
        <v>190</v>
      </c>
      <c r="H29" s="281"/>
      <c r="I29" s="168">
        <v>-0.5</v>
      </c>
      <c r="J29" s="168">
        <v>-0.75</v>
      </c>
      <c r="K29" s="168">
        <v>-0.75</v>
      </c>
      <c r="L29" s="168">
        <v>-0.75</v>
      </c>
      <c r="M29" s="168">
        <v>-0.75</v>
      </c>
      <c r="N29" s="168">
        <v>-0.75</v>
      </c>
      <c r="O29" s="168">
        <v>-0.75</v>
      </c>
      <c r="P29" s="168">
        <v>-1</v>
      </c>
      <c r="Q29" s="178" t="s">
        <v>362</v>
      </c>
      <c r="R29" s="186"/>
      <c r="S29" s="300" t="s">
        <v>19</v>
      </c>
      <c r="T29" s="301"/>
      <c r="U29" s="302"/>
      <c r="V29" s="197" t="str">
        <f>IFERROR(IF(AND(U9&lt;&gt;'Feed(WS)'!K137,V30=U60),NA(),V28+V27),"Minimum Rate")</f>
        <v>Minimum Rate</v>
      </c>
      <c r="W29" s="241"/>
      <c r="X29" s="229"/>
    </row>
    <row r="30" spans="1:24" ht="15" customHeight="1" thickBot="1">
      <c r="A30" s="218"/>
      <c r="B30" s="182">
        <v>9.4990000000000006</v>
      </c>
      <c r="C30" s="147">
        <v>104</v>
      </c>
      <c r="D30" s="147">
        <v>103.5</v>
      </c>
      <c r="E30" s="147">
        <v>99.75</v>
      </c>
      <c r="F30" s="219"/>
      <c r="G30" s="280" t="s">
        <v>191</v>
      </c>
      <c r="H30" s="281"/>
      <c r="I30" s="168">
        <v>-0.5</v>
      </c>
      <c r="J30" s="168">
        <v>-0.75</v>
      </c>
      <c r="K30" s="168">
        <v>-0.75</v>
      </c>
      <c r="L30" s="168">
        <v>-0.75</v>
      </c>
      <c r="M30" s="168">
        <v>-0.75</v>
      </c>
      <c r="N30" s="168">
        <v>-0.75</v>
      </c>
      <c r="O30" s="168">
        <v>-0.75</v>
      </c>
      <c r="P30" s="168">
        <v>-1</v>
      </c>
      <c r="Q30" s="178" t="s">
        <v>362</v>
      </c>
      <c r="R30" s="186"/>
      <c r="S30" s="303" t="s">
        <v>18</v>
      </c>
      <c r="T30" s="304"/>
      <c r="U30" s="305"/>
      <c r="V30" s="198">
        <f>'Feed(WS)'!E136</f>
        <v>0</v>
      </c>
      <c r="W30" s="242"/>
      <c r="X30" s="233"/>
    </row>
    <row r="31" spans="1:24" ht="15" customHeight="1" thickBot="1">
      <c r="A31" s="218"/>
      <c r="B31" s="182">
        <v>9.625</v>
      </c>
      <c r="C31" s="147">
        <v>104.1875</v>
      </c>
      <c r="D31" s="147">
        <v>103.6875</v>
      </c>
      <c r="E31" s="147">
        <v>100</v>
      </c>
      <c r="F31" s="219"/>
      <c r="G31" s="280" t="s">
        <v>192</v>
      </c>
      <c r="H31" s="281"/>
      <c r="I31" s="168">
        <v>-0.5</v>
      </c>
      <c r="J31" s="168">
        <v>-1</v>
      </c>
      <c r="K31" s="168">
        <v>-1</v>
      </c>
      <c r="L31" s="168">
        <v>-1</v>
      </c>
      <c r="M31" s="168">
        <v>-1</v>
      </c>
      <c r="N31" s="168">
        <v>-2</v>
      </c>
      <c r="O31" s="168" t="s">
        <v>362</v>
      </c>
      <c r="P31" s="168" t="s">
        <v>362</v>
      </c>
      <c r="Q31" s="178" t="s">
        <v>362</v>
      </c>
      <c r="R31" s="186"/>
      <c r="S31" s="319" t="s">
        <v>20</v>
      </c>
      <c r="T31" s="320"/>
      <c r="U31" s="320"/>
      <c r="V31" s="171" t="e">
        <f>IF(OR(V27="#NA",V28="#NA",V29="Minimum Rate"),NA(),IF(AND(IF(V29&gt;V30,V30,V29)&lt;'Feed(WS)'!E147,U22='Feed(WS)'!N5),NA(),IF(V29&gt;V30,V30,V29)))</f>
        <v>#N/A</v>
      </c>
      <c r="W31" s="243"/>
      <c r="X31" s="161"/>
    </row>
    <row r="32" spans="1:24" ht="15.75" customHeight="1" thickBot="1">
      <c r="A32" s="218"/>
      <c r="B32" s="182">
        <v>9.75</v>
      </c>
      <c r="C32" s="147">
        <v>104.375</v>
      </c>
      <c r="D32" s="147">
        <v>103.875</v>
      </c>
      <c r="E32" s="147">
        <v>100.25</v>
      </c>
      <c r="F32" s="219"/>
      <c r="G32" s="321" t="s">
        <v>9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3"/>
      <c r="R32" s="186"/>
      <c r="S32" s="282" t="s">
        <v>237</v>
      </c>
      <c r="T32" s="283"/>
      <c r="U32" s="283"/>
      <c r="V32" s="284"/>
      <c r="W32" s="244"/>
      <c r="X32" s="162"/>
    </row>
    <row r="33" spans="1:24" ht="15" customHeight="1">
      <c r="A33" s="218"/>
      <c r="B33" s="182">
        <v>9.875</v>
      </c>
      <c r="C33" s="147">
        <v>104.5625</v>
      </c>
      <c r="D33" s="147">
        <v>104.0625</v>
      </c>
      <c r="E33" s="147">
        <v>100.5</v>
      </c>
      <c r="F33" s="219"/>
      <c r="G33" s="280" t="s">
        <v>295</v>
      </c>
      <c r="H33" s="281"/>
      <c r="I33" s="168">
        <v>-2.5</v>
      </c>
      <c r="J33" s="168">
        <v>-2.5</v>
      </c>
      <c r="K33" s="168">
        <v>-2.5</v>
      </c>
      <c r="L33" s="168">
        <v>-2.5</v>
      </c>
      <c r="M33" s="168">
        <v>-2.5</v>
      </c>
      <c r="N33" s="168">
        <v>-2.5</v>
      </c>
      <c r="O33" s="168">
        <v>-2.5</v>
      </c>
      <c r="P33" s="168">
        <v>-2.5</v>
      </c>
      <c r="Q33" s="178" t="s">
        <v>362</v>
      </c>
      <c r="R33" s="186"/>
      <c r="S33" s="285" t="s">
        <v>238</v>
      </c>
      <c r="T33" s="286"/>
      <c r="U33" s="314">
        <v>175000</v>
      </c>
      <c r="V33" s="314"/>
      <c r="W33" s="259" t="str" cm="1">
        <f t="array" ref="W33">IF(OR(U10:U25="Choose a Selection"),"",CONCATENATE('Feed(WS)'!I137," ",'Feed(WS)'!K137,"%"&amp;" @ "&amp;'Feed(WS)'!L137))</f>
        <v/>
      </c>
      <c r="X33" s="163"/>
    </row>
    <row r="34" spans="1:24" ht="15" customHeight="1" thickBot="1">
      <c r="A34" s="218"/>
      <c r="B34" s="182">
        <v>9.9990000000000006</v>
      </c>
      <c r="C34" s="147">
        <v>104.75</v>
      </c>
      <c r="D34" s="147">
        <v>104.25</v>
      </c>
      <c r="E34" s="147">
        <v>100.75</v>
      </c>
      <c r="F34" s="219"/>
      <c r="G34" s="280" t="s">
        <v>32</v>
      </c>
      <c r="H34" s="281"/>
      <c r="I34" s="168">
        <v>-1</v>
      </c>
      <c r="J34" s="168">
        <v>-1</v>
      </c>
      <c r="K34" s="168">
        <v>-1</v>
      </c>
      <c r="L34" s="168">
        <v>-1</v>
      </c>
      <c r="M34" s="168">
        <v>-1</v>
      </c>
      <c r="N34" s="168">
        <v>-1.25</v>
      </c>
      <c r="O34" s="168">
        <v>-1.5</v>
      </c>
      <c r="P34" s="168">
        <v>-1.5</v>
      </c>
      <c r="Q34" s="178" t="s">
        <v>362</v>
      </c>
      <c r="R34" s="186"/>
      <c r="S34" s="315" t="s">
        <v>239</v>
      </c>
      <c r="T34" s="316"/>
      <c r="U34" s="172">
        <v>2.25</v>
      </c>
      <c r="V34" s="173">
        <f>U34/100*U33</f>
        <v>3937.5</v>
      </c>
      <c r="W34" s="244"/>
      <c r="X34" s="162"/>
    </row>
    <row r="35" spans="1:24" ht="15" customHeight="1" thickBot="1">
      <c r="A35" s="218"/>
      <c r="B35" s="182">
        <v>10.125</v>
      </c>
      <c r="C35" s="147">
        <v>104.9375</v>
      </c>
      <c r="D35" s="147">
        <v>104.4375</v>
      </c>
      <c r="E35" s="147">
        <v>101</v>
      </c>
      <c r="F35" s="219"/>
      <c r="G35" s="321" t="s">
        <v>23</v>
      </c>
      <c r="H35" s="322"/>
      <c r="I35" s="322"/>
      <c r="J35" s="322"/>
      <c r="K35" s="322"/>
      <c r="L35" s="322"/>
      <c r="M35" s="322"/>
      <c r="N35" s="322"/>
      <c r="O35" s="322"/>
      <c r="P35" s="322"/>
      <c r="Q35" s="323"/>
      <c r="R35" s="186"/>
      <c r="S35" s="317" t="s">
        <v>240</v>
      </c>
      <c r="T35" s="318"/>
      <c r="U35" s="174">
        <v>100</v>
      </c>
      <c r="V35" s="175">
        <f>U35/U33*100</f>
        <v>5.7142857142857148E-2</v>
      </c>
      <c r="W35" s="245"/>
      <c r="X35" s="163"/>
    </row>
    <row r="36" spans="1:24" ht="15" customHeight="1">
      <c r="A36" s="218"/>
      <c r="B36" s="182">
        <v>10.25</v>
      </c>
      <c r="C36" s="147">
        <v>105.125</v>
      </c>
      <c r="D36" s="147">
        <v>104.625</v>
      </c>
      <c r="E36" s="147">
        <v>101.25</v>
      </c>
      <c r="F36" s="219"/>
      <c r="G36" s="280" t="s">
        <v>185</v>
      </c>
      <c r="H36" s="281"/>
      <c r="I36" s="168">
        <v>-0.25</v>
      </c>
      <c r="J36" s="168">
        <v>-0.25</v>
      </c>
      <c r="K36" s="168">
        <v>-0.25</v>
      </c>
      <c r="L36" s="168">
        <v>-0.25</v>
      </c>
      <c r="M36" s="168">
        <v>-0.25</v>
      </c>
      <c r="N36" s="168">
        <v>-0.25</v>
      </c>
      <c r="O36" s="168">
        <v>-0.25</v>
      </c>
      <c r="P36" s="168">
        <v>-0.5</v>
      </c>
      <c r="Q36" s="178">
        <v>-1</v>
      </c>
      <c r="R36" s="186"/>
      <c r="S36" s="317" t="s">
        <v>241</v>
      </c>
      <c r="T36" s="318"/>
      <c r="U36" s="359">
        <f>U34+V35</f>
        <v>2.3071428571428569</v>
      </c>
      <c r="V36" s="359"/>
      <c r="W36" s="245"/>
      <c r="X36" s="163"/>
    </row>
    <row r="37" spans="1:24" ht="15.75" customHeight="1" thickBot="1">
      <c r="A37" s="218"/>
      <c r="B37" s="182">
        <v>10.375</v>
      </c>
      <c r="C37" s="147">
        <v>105.3125</v>
      </c>
      <c r="D37" s="147">
        <v>104.8125</v>
      </c>
      <c r="E37" s="147">
        <v>101.5</v>
      </c>
      <c r="F37" s="219"/>
      <c r="G37" s="280" t="s">
        <v>144</v>
      </c>
      <c r="H37" s="281"/>
      <c r="I37" s="168">
        <v>0.25</v>
      </c>
      <c r="J37" s="168">
        <v>0.25</v>
      </c>
      <c r="K37" s="168">
        <v>0.25</v>
      </c>
      <c r="L37" s="168">
        <v>0.25</v>
      </c>
      <c r="M37" s="168">
        <v>0.25</v>
      </c>
      <c r="N37" s="168">
        <v>0.25</v>
      </c>
      <c r="O37" s="168">
        <v>0.25</v>
      </c>
      <c r="P37" s="168">
        <v>0</v>
      </c>
      <c r="Q37" s="178">
        <v>0</v>
      </c>
      <c r="R37" s="186"/>
      <c r="S37" s="306" t="s">
        <v>242</v>
      </c>
      <c r="T37" s="307"/>
      <c r="U37" s="294" t="e">
        <f>V31-U36</f>
        <v>#N/A</v>
      </c>
      <c r="V37" s="295"/>
      <c r="W37" s="246"/>
      <c r="X37" s="164"/>
    </row>
    <row r="38" spans="1:24" ht="15.75" customHeight="1">
      <c r="A38" s="218"/>
      <c r="B38" s="182">
        <v>10.499000000000001</v>
      </c>
      <c r="C38" s="147">
        <v>105.5</v>
      </c>
      <c r="D38" s="147">
        <v>105</v>
      </c>
      <c r="E38" s="147">
        <v>102</v>
      </c>
      <c r="F38" s="219"/>
      <c r="G38" s="280" t="s">
        <v>145</v>
      </c>
      <c r="H38" s="281"/>
      <c r="I38" s="168">
        <v>0.375</v>
      </c>
      <c r="J38" s="168">
        <v>0.375</v>
      </c>
      <c r="K38" s="168">
        <v>0.375</v>
      </c>
      <c r="L38" s="168">
        <v>0.375</v>
      </c>
      <c r="M38" s="168">
        <v>0.375</v>
      </c>
      <c r="N38" s="168">
        <v>0.375</v>
      </c>
      <c r="O38" s="168">
        <v>0.375</v>
      </c>
      <c r="P38" s="168">
        <v>0.375</v>
      </c>
      <c r="Q38" s="178">
        <v>0.375</v>
      </c>
      <c r="R38" s="186"/>
      <c r="S38" s="326" t="s">
        <v>297</v>
      </c>
      <c r="T38" s="327"/>
      <c r="U38" s="327"/>
      <c r="V38" s="327"/>
      <c r="W38" s="328"/>
      <c r="X38" s="165"/>
    </row>
    <row r="39" spans="1:24" ht="14.25" customHeight="1">
      <c r="A39" s="218"/>
      <c r="B39" s="182">
        <v>10.625</v>
      </c>
      <c r="C39" s="147">
        <v>105.6875</v>
      </c>
      <c r="D39" s="147">
        <v>105.1875</v>
      </c>
      <c r="E39" s="147">
        <v>102.5</v>
      </c>
      <c r="F39" s="220"/>
      <c r="G39" s="280" t="s">
        <v>153</v>
      </c>
      <c r="H39" s="281"/>
      <c r="I39" s="168">
        <v>0.5</v>
      </c>
      <c r="J39" s="168">
        <v>0.5</v>
      </c>
      <c r="K39" s="168">
        <v>0.5</v>
      </c>
      <c r="L39" s="168">
        <v>0.5</v>
      </c>
      <c r="M39" s="168">
        <v>0.5</v>
      </c>
      <c r="N39" s="168">
        <v>0.5</v>
      </c>
      <c r="O39" s="168">
        <v>0.5</v>
      </c>
      <c r="P39" s="168">
        <v>0.5</v>
      </c>
      <c r="Q39" s="178">
        <v>0.5</v>
      </c>
      <c r="R39" s="186"/>
      <c r="S39" s="329"/>
      <c r="T39" s="330"/>
      <c r="U39" s="330"/>
      <c r="V39" s="330"/>
      <c r="W39" s="331"/>
      <c r="X39" s="166"/>
    </row>
    <row r="40" spans="1:24" ht="14.25" customHeight="1" thickBot="1">
      <c r="A40" s="218"/>
      <c r="B40" s="184">
        <v>10.75</v>
      </c>
      <c r="C40" s="147">
        <v>105.875</v>
      </c>
      <c r="D40" s="147">
        <v>105.375</v>
      </c>
      <c r="E40" s="147">
        <v>103</v>
      </c>
      <c r="F40" s="220"/>
      <c r="G40" s="280" t="s">
        <v>154</v>
      </c>
      <c r="H40" s="281"/>
      <c r="I40" s="168">
        <v>0.5</v>
      </c>
      <c r="J40" s="168">
        <v>0.5</v>
      </c>
      <c r="K40" s="168">
        <v>0.5</v>
      </c>
      <c r="L40" s="168">
        <v>0.5</v>
      </c>
      <c r="M40" s="168">
        <v>0.5</v>
      </c>
      <c r="N40" s="168">
        <v>0.5</v>
      </c>
      <c r="O40" s="168">
        <v>0.5</v>
      </c>
      <c r="P40" s="168">
        <v>0.5</v>
      </c>
      <c r="Q40" s="178">
        <v>0.5</v>
      </c>
      <c r="R40" s="185"/>
      <c r="S40" s="329"/>
      <c r="T40" s="330"/>
      <c r="U40" s="330"/>
      <c r="V40" s="330"/>
      <c r="W40" s="331"/>
      <c r="X40" s="166"/>
    </row>
    <row r="41" spans="1:24" ht="15.75" customHeight="1" thickBot="1">
      <c r="A41" s="218"/>
      <c r="B41" s="184">
        <v>10.875</v>
      </c>
      <c r="C41" s="147">
        <v>106.0625</v>
      </c>
      <c r="D41" s="147">
        <v>105.5625</v>
      </c>
      <c r="E41" s="147">
        <v>103.5</v>
      </c>
      <c r="F41" s="219"/>
      <c r="G41" s="280" t="s">
        <v>187</v>
      </c>
      <c r="H41" s="281"/>
      <c r="I41" s="168">
        <v>0</v>
      </c>
      <c r="J41" s="168">
        <v>0</v>
      </c>
      <c r="K41" s="168">
        <v>0</v>
      </c>
      <c r="L41" s="168">
        <v>0</v>
      </c>
      <c r="M41" s="168">
        <v>0</v>
      </c>
      <c r="N41" s="168">
        <v>0</v>
      </c>
      <c r="O41" s="168">
        <v>0</v>
      </c>
      <c r="P41" s="168">
        <v>0</v>
      </c>
      <c r="Q41" s="178">
        <v>0</v>
      </c>
      <c r="R41" s="185"/>
      <c r="S41" s="332"/>
      <c r="T41" s="333"/>
      <c r="U41" s="333"/>
      <c r="V41" s="333"/>
      <c r="W41" s="334"/>
      <c r="X41" s="166"/>
    </row>
    <row r="42" spans="1:24" ht="14.25" customHeight="1" thickBot="1">
      <c r="A42" s="218"/>
      <c r="B42" s="184">
        <v>10.999000000000001</v>
      </c>
      <c r="C42" s="147">
        <v>106.25</v>
      </c>
      <c r="D42" s="147">
        <v>105.75</v>
      </c>
      <c r="E42" s="147">
        <v>103.75</v>
      </c>
      <c r="F42" s="219"/>
      <c r="G42" s="321" t="s">
        <v>278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3"/>
      <c r="R42" s="186"/>
      <c r="S42" s="326" t="s">
        <v>122</v>
      </c>
      <c r="T42" s="327"/>
      <c r="U42" s="327"/>
      <c r="V42" s="327"/>
      <c r="W42" s="328"/>
      <c r="X42" s="166"/>
    </row>
    <row r="43" spans="1:24" ht="15.75" customHeight="1" thickBot="1">
      <c r="A43" s="218"/>
      <c r="B43" s="184">
        <v>11.125</v>
      </c>
      <c r="C43" s="147">
        <v>106.4375</v>
      </c>
      <c r="D43" s="147">
        <v>105.9375</v>
      </c>
      <c r="E43" s="147">
        <v>104</v>
      </c>
      <c r="F43" s="219"/>
      <c r="G43" s="280" t="s">
        <v>142</v>
      </c>
      <c r="H43" s="281"/>
      <c r="I43" s="168">
        <v>0</v>
      </c>
      <c r="J43" s="168">
        <v>0</v>
      </c>
      <c r="K43" s="168">
        <v>0</v>
      </c>
      <c r="L43" s="168">
        <v>0</v>
      </c>
      <c r="M43" s="168">
        <v>0</v>
      </c>
      <c r="N43" s="168">
        <v>0</v>
      </c>
      <c r="O43" s="168">
        <v>0</v>
      </c>
      <c r="P43" s="168">
        <v>0</v>
      </c>
      <c r="Q43" s="178">
        <v>0</v>
      </c>
      <c r="R43" s="186"/>
      <c r="S43" s="329"/>
      <c r="T43" s="330"/>
      <c r="U43" s="330"/>
      <c r="V43" s="330"/>
      <c r="W43" s="331"/>
      <c r="X43" s="166"/>
    </row>
    <row r="44" spans="1:24" ht="14.25" customHeight="1" thickBot="1">
      <c r="A44" s="218"/>
      <c r="B44" s="184">
        <v>11.25</v>
      </c>
      <c r="C44" s="147">
        <v>106.625</v>
      </c>
      <c r="D44" s="147">
        <v>106.125</v>
      </c>
      <c r="E44" s="147">
        <v>104.25</v>
      </c>
      <c r="F44" s="219"/>
      <c r="G44" s="280" t="s">
        <v>143</v>
      </c>
      <c r="H44" s="281"/>
      <c r="I44" s="168">
        <v>-0.25</v>
      </c>
      <c r="J44" s="168">
        <v>-0.25</v>
      </c>
      <c r="K44" s="168">
        <v>-0.25</v>
      </c>
      <c r="L44" s="168">
        <v>-0.25</v>
      </c>
      <c r="M44" s="168">
        <v>-0.25</v>
      </c>
      <c r="N44" s="168">
        <v>-0.5</v>
      </c>
      <c r="O44" s="168">
        <v>-0.5</v>
      </c>
      <c r="P44" s="168">
        <v>-0.75</v>
      </c>
      <c r="Q44" s="178">
        <v>-0.75</v>
      </c>
      <c r="R44" s="186"/>
      <c r="S44" s="329"/>
      <c r="T44" s="330"/>
      <c r="U44" s="330"/>
      <c r="V44" s="330"/>
      <c r="W44" s="331"/>
      <c r="X44" s="166"/>
    </row>
    <row r="45" spans="1:24" ht="14.25" customHeight="1" thickBot="1">
      <c r="A45" s="218"/>
      <c r="B45" s="184">
        <v>11.375</v>
      </c>
      <c r="C45" s="147">
        <v>106.8125</v>
      </c>
      <c r="D45" s="147">
        <v>106.3125</v>
      </c>
      <c r="E45" s="147">
        <v>104.5</v>
      </c>
      <c r="F45" s="219"/>
      <c r="G45" s="280" t="s">
        <v>184</v>
      </c>
      <c r="H45" s="281"/>
      <c r="I45" s="168">
        <v>-0.5</v>
      </c>
      <c r="J45" s="168">
        <v>-0.5</v>
      </c>
      <c r="K45" s="168">
        <v>-0.5</v>
      </c>
      <c r="L45" s="168">
        <v>-0.5</v>
      </c>
      <c r="M45" s="168">
        <v>-0.5</v>
      </c>
      <c r="N45" s="168">
        <v>-1</v>
      </c>
      <c r="O45" s="168">
        <v>-1</v>
      </c>
      <c r="P45" s="168" t="s">
        <v>362</v>
      </c>
      <c r="Q45" s="178" t="s">
        <v>362</v>
      </c>
      <c r="R45" s="186"/>
      <c r="S45" s="205"/>
      <c r="T45" s="185"/>
      <c r="U45" s="185"/>
      <c r="V45" s="185"/>
      <c r="W45" s="220"/>
      <c r="X45" s="166"/>
    </row>
    <row r="46" spans="1:24" ht="14.25" customHeight="1" thickBot="1">
      <c r="A46" s="218"/>
      <c r="B46" s="184">
        <v>11.499000000000001</v>
      </c>
      <c r="C46" s="147">
        <v>107</v>
      </c>
      <c r="D46" s="147">
        <v>106.5</v>
      </c>
      <c r="E46" s="147">
        <v>104.75</v>
      </c>
      <c r="F46" s="219"/>
      <c r="G46" s="321" t="s">
        <v>279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3"/>
      <c r="R46" s="186"/>
      <c r="S46" s="205"/>
      <c r="T46" s="185"/>
      <c r="U46" s="185"/>
      <c r="V46" s="185"/>
      <c r="W46" s="220"/>
      <c r="X46" s="166"/>
    </row>
    <row r="47" spans="1:24" ht="15.75" customHeight="1" thickBot="1">
      <c r="A47" s="218"/>
      <c r="B47" s="184">
        <v>11.625</v>
      </c>
      <c r="C47" s="147">
        <v>107.1875</v>
      </c>
      <c r="D47" s="147">
        <v>106.6875</v>
      </c>
      <c r="E47" s="147">
        <v>105</v>
      </c>
      <c r="F47" s="219"/>
      <c r="G47" s="280" t="s">
        <v>193</v>
      </c>
      <c r="H47" s="281"/>
      <c r="I47" s="168">
        <v>-3</v>
      </c>
      <c r="J47" s="168">
        <v>-3</v>
      </c>
      <c r="K47" s="168">
        <v>-3</v>
      </c>
      <c r="L47" s="168">
        <v>-3</v>
      </c>
      <c r="M47" s="168">
        <v>-3.5</v>
      </c>
      <c r="N47" s="168">
        <v>-3.5</v>
      </c>
      <c r="O47" s="168" t="s">
        <v>362</v>
      </c>
      <c r="P47" s="168" t="s">
        <v>362</v>
      </c>
      <c r="Q47" s="178" t="s">
        <v>362</v>
      </c>
      <c r="R47" s="186"/>
      <c r="S47" s="205"/>
      <c r="T47" s="185"/>
      <c r="U47" s="185"/>
      <c r="V47" s="185"/>
      <c r="W47" s="220"/>
      <c r="X47" s="166"/>
    </row>
    <row r="48" spans="1:24" ht="15.75" customHeight="1" thickBot="1">
      <c r="A48" s="218"/>
      <c r="B48" s="184">
        <v>11.75</v>
      </c>
      <c r="C48" s="147">
        <v>107.375</v>
      </c>
      <c r="D48" s="147">
        <v>106.875</v>
      </c>
      <c r="E48" s="147">
        <v>105.25</v>
      </c>
      <c r="F48" s="219"/>
      <c r="G48" s="280" t="s">
        <v>288</v>
      </c>
      <c r="H48" s="281"/>
      <c r="I48" s="168">
        <v>-1.5</v>
      </c>
      <c r="J48" s="168">
        <v>-1.5</v>
      </c>
      <c r="K48" s="168">
        <v>-1.5</v>
      </c>
      <c r="L48" s="168">
        <v>-1.5</v>
      </c>
      <c r="M48" s="168">
        <v>-1.5</v>
      </c>
      <c r="N48" s="168">
        <v>-1.5</v>
      </c>
      <c r="O48" s="168" t="s">
        <v>362</v>
      </c>
      <c r="P48" s="168" t="s">
        <v>362</v>
      </c>
      <c r="Q48" s="178" t="s">
        <v>362</v>
      </c>
      <c r="R48" s="186"/>
      <c r="S48" s="205"/>
      <c r="T48" s="185"/>
      <c r="U48" s="185"/>
      <c r="V48" s="185"/>
      <c r="W48" s="220"/>
      <c r="X48" s="166"/>
    </row>
    <row r="49" spans="1:39" ht="15" customHeight="1" thickBot="1">
      <c r="A49" s="218"/>
      <c r="B49" s="184">
        <v>11.875</v>
      </c>
      <c r="C49" s="147">
        <v>107.5625</v>
      </c>
      <c r="D49" s="147">
        <v>107.0625</v>
      </c>
      <c r="E49" s="147">
        <v>105.5</v>
      </c>
      <c r="F49" s="219"/>
      <c r="G49" s="321" t="s">
        <v>280</v>
      </c>
      <c r="H49" s="322"/>
      <c r="I49" s="322"/>
      <c r="J49" s="322"/>
      <c r="K49" s="322"/>
      <c r="L49" s="322"/>
      <c r="M49" s="322"/>
      <c r="N49" s="322"/>
      <c r="O49" s="322"/>
      <c r="P49" s="322"/>
      <c r="Q49" s="323"/>
      <c r="R49" s="186"/>
      <c r="S49" s="205"/>
      <c r="T49" s="185"/>
      <c r="U49" s="185"/>
      <c r="V49" s="185"/>
      <c r="W49" s="220"/>
      <c r="X49" s="167"/>
    </row>
    <row r="50" spans="1:39" ht="13.5" customHeight="1" thickBot="1">
      <c r="A50" s="218"/>
      <c r="B50" s="184">
        <v>11.999000000000001</v>
      </c>
      <c r="C50" s="147">
        <v>107.75</v>
      </c>
      <c r="D50" s="147">
        <v>107.25</v>
      </c>
      <c r="E50" s="147">
        <v>105.75</v>
      </c>
      <c r="F50" s="219"/>
      <c r="G50" s="280" t="s">
        <v>292</v>
      </c>
      <c r="H50" s="281"/>
      <c r="I50" s="168">
        <v>-0.125</v>
      </c>
      <c r="J50" s="168">
        <v>-0.125</v>
      </c>
      <c r="K50" s="168">
        <v>-0.125</v>
      </c>
      <c r="L50" s="168">
        <v>-0.25</v>
      </c>
      <c r="M50" s="168">
        <v>-0.25</v>
      </c>
      <c r="N50" s="168">
        <v>-0.25</v>
      </c>
      <c r="O50" s="168" t="s">
        <v>362</v>
      </c>
      <c r="P50" s="168" t="s">
        <v>362</v>
      </c>
      <c r="Q50" s="178" t="s">
        <v>362</v>
      </c>
      <c r="R50" s="186"/>
      <c r="S50" s="205"/>
      <c r="T50" s="185"/>
      <c r="U50" s="185"/>
      <c r="V50" s="185"/>
      <c r="W50" s="220"/>
      <c r="X50" s="149"/>
    </row>
    <row r="51" spans="1:39" ht="15.75" customHeight="1" thickBot="1">
      <c r="A51" s="218"/>
      <c r="B51" s="184">
        <v>12.125</v>
      </c>
      <c r="C51" s="147">
        <v>107.9375</v>
      </c>
      <c r="D51" s="147">
        <v>107.4375</v>
      </c>
      <c r="E51" s="147">
        <v>106</v>
      </c>
      <c r="F51" s="220"/>
      <c r="G51" s="280" t="s">
        <v>293</v>
      </c>
      <c r="H51" s="281"/>
      <c r="I51" s="168">
        <v>-0.5</v>
      </c>
      <c r="J51" s="168">
        <v>-0.5</v>
      </c>
      <c r="K51" s="168">
        <v>-0.5</v>
      </c>
      <c r="L51" s="168">
        <v>-1</v>
      </c>
      <c r="M51" s="168">
        <v>-1</v>
      </c>
      <c r="N51" s="168">
        <v>-1</v>
      </c>
      <c r="O51" s="168" t="s">
        <v>362</v>
      </c>
      <c r="P51" s="168" t="s">
        <v>362</v>
      </c>
      <c r="Q51" s="178" t="s">
        <v>362</v>
      </c>
      <c r="R51" s="186"/>
      <c r="S51" s="205"/>
      <c r="T51" s="185"/>
      <c r="U51" s="185"/>
      <c r="V51" s="185"/>
      <c r="W51" s="220"/>
      <c r="X51" s="149"/>
    </row>
    <row r="52" spans="1:39" ht="15" customHeight="1" thickBot="1">
      <c r="A52" s="218"/>
      <c r="B52" s="190"/>
      <c r="C52" s="191"/>
      <c r="D52" s="191"/>
      <c r="E52" s="191"/>
      <c r="F52" s="220"/>
      <c r="G52" s="339" t="s">
        <v>294</v>
      </c>
      <c r="H52" s="340"/>
      <c r="I52" s="181">
        <v>0</v>
      </c>
      <c r="J52" s="181">
        <v>-0.125</v>
      </c>
      <c r="K52" s="181">
        <v>-0.125</v>
      </c>
      <c r="L52" s="181">
        <v>-0.25</v>
      </c>
      <c r="M52" s="181">
        <v>-0.25</v>
      </c>
      <c r="N52" s="181">
        <v>-0.5</v>
      </c>
      <c r="O52" s="181">
        <v>-0.5</v>
      </c>
      <c r="P52" s="181" t="s">
        <v>362</v>
      </c>
      <c r="Q52" s="204" t="s">
        <v>362</v>
      </c>
      <c r="R52" s="185"/>
      <c r="S52" s="205"/>
      <c r="T52" s="185"/>
      <c r="U52" s="185"/>
      <c r="V52" s="185"/>
      <c r="W52" s="220"/>
      <c r="X52" s="149"/>
    </row>
    <row r="53" spans="1:39" s="48" customFormat="1" ht="15.75" customHeight="1" thickBot="1">
      <c r="A53" s="218"/>
      <c r="B53" s="190"/>
      <c r="C53" s="191"/>
      <c r="D53" s="191"/>
      <c r="E53" s="191"/>
      <c r="F53" s="220"/>
      <c r="G53" s="321" t="s">
        <v>352</v>
      </c>
      <c r="H53" s="322"/>
      <c r="I53" s="322"/>
      <c r="J53" s="322"/>
      <c r="K53" s="322"/>
      <c r="L53" s="322"/>
      <c r="M53" s="322"/>
      <c r="N53" s="322"/>
      <c r="O53" s="322"/>
      <c r="P53" s="322"/>
      <c r="Q53" s="323"/>
      <c r="R53" s="185"/>
      <c r="S53" s="205"/>
      <c r="T53" s="185"/>
      <c r="U53" s="185"/>
      <c r="V53" s="185"/>
      <c r="W53" s="220"/>
      <c r="X53" s="149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18"/>
      <c r="B54" s="190"/>
      <c r="C54" s="191"/>
      <c r="D54" s="191"/>
      <c r="E54" s="191"/>
      <c r="F54" s="220"/>
      <c r="G54" s="324" t="s">
        <v>353</v>
      </c>
      <c r="H54" s="325"/>
      <c r="I54" s="260">
        <v>0.25</v>
      </c>
      <c r="J54" s="260">
        <v>0.25</v>
      </c>
      <c r="K54" s="260">
        <v>0.25</v>
      </c>
      <c r="L54" s="260">
        <v>0.25</v>
      </c>
      <c r="M54" s="260">
        <v>0.25</v>
      </c>
      <c r="N54" s="260">
        <v>0.25</v>
      </c>
      <c r="O54" s="260">
        <v>0.25</v>
      </c>
      <c r="P54" s="260">
        <v>0.25</v>
      </c>
      <c r="Q54" s="261">
        <v>0.25</v>
      </c>
      <c r="R54" s="185"/>
      <c r="S54" s="205"/>
      <c r="T54" s="185"/>
      <c r="U54" s="185"/>
      <c r="V54" s="185"/>
      <c r="W54" s="220"/>
      <c r="X54" s="149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18"/>
      <c r="B55" s="190"/>
      <c r="C55" s="191"/>
      <c r="D55" s="191"/>
      <c r="E55" s="191"/>
      <c r="F55" s="220"/>
      <c r="G55" s="324" t="s">
        <v>354</v>
      </c>
      <c r="H55" s="325"/>
      <c r="I55" s="260">
        <v>0.5</v>
      </c>
      <c r="J55" s="260">
        <v>0.5</v>
      </c>
      <c r="K55" s="260">
        <v>0.5</v>
      </c>
      <c r="L55" s="260">
        <v>0.5</v>
      </c>
      <c r="M55" s="260">
        <v>0.5</v>
      </c>
      <c r="N55" s="260">
        <v>0.5</v>
      </c>
      <c r="O55" s="260">
        <v>0.5</v>
      </c>
      <c r="P55" s="260">
        <v>0.5</v>
      </c>
      <c r="Q55" s="261">
        <v>0.5</v>
      </c>
      <c r="R55" s="185"/>
      <c r="S55" s="205"/>
      <c r="T55" s="185"/>
      <c r="U55" s="185"/>
      <c r="V55" s="185"/>
      <c r="W55" s="220"/>
      <c r="X55" s="149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18"/>
      <c r="B56" s="338" t="s">
        <v>286</v>
      </c>
      <c r="C56" s="338"/>
      <c r="D56" s="338" t="s">
        <v>287</v>
      </c>
      <c r="E56" s="338"/>
      <c r="F56" s="220"/>
      <c r="G56" s="324" t="s">
        <v>355</v>
      </c>
      <c r="H56" s="325"/>
      <c r="I56" s="260">
        <v>0.75</v>
      </c>
      <c r="J56" s="260">
        <v>0.75</v>
      </c>
      <c r="K56" s="260">
        <v>0.75</v>
      </c>
      <c r="L56" s="260">
        <v>0.75</v>
      </c>
      <c r="M56" s="260">
        <v>0.75</v>
      </c>
      <c r="N56" s="260">
        <v>0.75</v>
      </c>
      <c r="O56" s="260">
        <v>0.75</v>
      </c>
      <c r="P56" s="260">
        <v>0.75</v>
      </c>
      <c r="Q56" s="261">
        <v>0.75</v>
      </c>
      <c r="R56" s="185"/>
      <c r="S56" s="205"/>
      <c r="T56" s="185"/>
      <c r="U56" s="185"/>
      <c r="V56" s="185"/>
      <c r="W56" s="220"/>
      <c r="X56" s="149"/>
      <c r="Y56"/>
      <c r="Z56"/>
      <c r="AA56"/>
      <c r="AB56"/>
      <c r="AC56"/>
      <c r="AD56"/>
      <c r="AE56"/>
      <c r="AF56"/>
      <c r="AG56"/>
      <c r="AH56"/>
      <c r="AK56" s="55"/>
      <c r="AL56" s="55"/>
      <c r="AM56" s="55"/>
    </row>
    <row r="57" spans="1:39" s="48" customFormat="1" ht="15.75" customHeight="1">
      <c r="A57" s="218"/>
      <c r="B57" s="336" t="s">
        <v>30</v>
      </c>
      <c r="C57" s="336"/>
      <c r="D57" s="337">
        <v>0</v>
      </c>
      <c r="E57" s="337"/>
      <c r="F57" s="220"/>
      <c r="G57" s="350"/>
      <c r="H57" s="351"/>
      <c r="I57" s="351"/>
      <c r="J57" s="351"/>
      <c r="K57" s="351"/>
      <c r="L57" s="351"/>
      <c r="M57" s="351"/>
      <c r="N57" s="351"/>
      <c r="O57" s="351"/>
      <c r="P57" s="351"/>
      <c r="Q57" s="352"/>
      <c r="R57" s="185"/>
      <c r="S57" s="205"/>
      <c r="T57" s="344" t="s">
        <v>363</v>
      </c>
      <c r="U57" s="344"/>
      <c r="V57" s="344" t="s">
        <v>11</v>
      </c>
      <c r="W57" s="345"/>
      <c r="X57" s="149"/>
      <c r="Y57"/>
      <c r="Z57"/>
      <c r="AA57"/>
      <c r="AB57"/>
      <c r="AC57"/>
      <c r="AD57"/>
      <c r="AE57"/>
      <c r="AF57"/>
      <c r="AG57"/>
      <c r="AH57"/>
      <c r="AK57" s="55"/>
      <c r="AL57" s="55"/>
      <c r="AM57" s="55"/>
    </row>
    <row r="58" spans="1:39" ht="15.75" customHeight="1">
      <c r="A58" s="218"/>
      <c r="B58" s="336" t="s">
        <v>15</v>
      </c>
      <c r="C58" s="336"/>
      <c r="D58" s="337">
        <v>0</v>
      </c>
      <c r="E58" s="337"/>
      <c r="F58" s="220"/>
      <c r="G58" s="350"/>
      <c r="H58" s="351"/>
      <c r="I58" s="351"/>
      <c r="J58" s="351"/>
      <c r="K58" s="351"/>
      <c r="L58" s="351"/>
      <c r="M58" s="351"/>
      <c r="N58" s="351"/>
      <c r="O58" s="351"/>
      <c r="P58" s="351"/>
      <c r="Q58" s="352"/>
      <c r="R58" s="185"/>
      <c r="S58" s="205"/>
      <c r="T58" s="179" t="s">
        <v>363</v>
      </c>
      <c r="U58" s="168">
        <v>102</v>
      </c>
      <c r="V58" s="179" t="s">
        <v>36</v>
      </c>
      <c r="W58" s="178">
        <v>0</v>
      </c>
      <c r="X58" s="149"/>
      <c r="AI58" s="48"/>
      <c r="AJ58" s="48"/>
    </row>
    <row r="59" spans="1:39" ht="15.75" customHeight="1">
      <c r="A59" s="218"/>
      <c r="B59" s="336" t="s">
        <v>34</v>
      </c>
      <c r="C59" s="336"/>
      <c r="D59" s="337">
        <v>-0.25</v>
      </c>
      <c r="E59" s="337"/>
      <c r="F59" s="220"/>
      <c r="G59" s="346" t="s">
        <v>281</v>
      </c>
      <c r="H59" s="344"/>
      <c r="I59" s="344"/>
      <c r="J59" s="344"/>
      <c r="K59" s="344"/>
      <c r="L59" s="344"/>
      <c r="M59" s="344"/>
      <c r="N59" s="344"/>
      <c r="O59" s="344"/>
      <c r="P59" s="344"/>
      <c r="Q59" s="345"/>
      <c r="R59" s="185"/>
      <c r="S59" s="205"/>
      <c r="T59" s="179" t="s">
        <v>364</v>
      </c>
      <c r="U59" s="168">
        <v>12.25</v>
      </c>
      <c r="V59" s="179" t="s">
        <v>150</v>
      </c>
      <c r="W59" s="178">
        <v>0.125</v>
      </c>
      <c r="X59" s="149"/>
      <c r="AI59" s="48"/>
      <c r="AJ59" s="48"/>
    </row>
    <row r="60" spans="1:39" ht="15.75" customHeight="1">
      <c r="A60" s="218"/>
      <c r="B60" s="335"/>
      <c r="C60" s="335"/>
      <c r="D60" s="335"/>
      <c r="E60" s="335"/>
      <c r="F60" s="220"/>
      <c r="G60" s="347" t="s">
        <v>357</v>
      </c>
      <c r="H60" s="348"/>
      <c r="I60" s="348"/>
      <c r="J60" s="348"/>
      <c r="K60" s="348"/>
      <c r="L60" s="348"/>
      <c r="M60" s="348"/>
      <c r="N60" s="348"/>
      <c r="O60" s="348"/>
      <c r="P60" s="348"/>
      <c r="Q60" s="349"/>
      <c r="R60" s="185"/>
      <c r="S60" s="205"/>
      <c r="T60" s="179" t="s">
        <v>365</v>
      </c>
      <c r="U60" s="168">
        <v>99.75</v>
      </c>
      <c r="V60" s="179" t="s">
        <v>151</v>
      </c>
      <c r="W60" s="178">
        <v>0.125</v>
      </c>
      <c r="X60" s="149"/>
      <c r="AI60" s="48"/>
      <c r="AJ60" s="48"/>
    </row>
    <row r="61" spans="1:39" ht="15.75" customHeight="1">
      <c r="A61" s="218"/>
      <c r="B61" s="353"/>
      <c r="C61" s="353"/>
      <c r="D61" s="354"/>
      <c r="E61" s="354"/>
      <c r="F61" s="220"/>
      <c r="G61" s="347"/>
      <c r="H61" s="348"/>
      <c r="I61" s="348"/>
      <c r="J61" s="348"/>
      <c r="K61" s="348"/>
      <c r="L61" s="348"/>
      <c r="M61" s="348"/>
      <c r="N61" s="348"/>
      <c r="O61" s="348"/>
      <c r="P61" s="348"/>
      <c r="Q61" s="349"/>
      <c r="R61" s="185"/>
      <c r="S61" s="205"/>
      <c r="T61" s="185"/>
      <c r="U61" s="185"/>
      <c r="V61" s="185"/>
      <c r="W61" s="220"/>
      <c r="X61" s="149"/>
    </row>
    <row r="62" spans="1:39" ht="15.75" customHeight="1">
      <c r="A62" s="218"/>
      <c r="B62" s="353"/>
      <c r="C62" s="353"/>
      <c r="D62" s="354"/>
      <c r="E62" s="354"/>
      <c r="F62" s="220"/>
      <c r="G62" s="347"/>
      <c r="H62" s="348"/>
      <c r="I62" s="348"/>
      <c r="J62" s="348"/>
      <c r="K62" s="348"/>
      <c r="L62" s="348"/>
      <c r="M62" s="348"/>
      <c r="N62" s="348"/>
      <c r="O62" s="348"/>
      <c r="P62" s="348"/>
      <c r="Q62" s="349"/>
      <c r="R62" s="185"/>
      <c r="S62" s="205"/>
      <c r="T62" s="185"/>
      <c r="U62" s="185"/>
      <c r="V62" s="185"/>
      <c r="W62" s="220"/>
      <c r="X62" s="149"/>
    </row>
    <row r="63" spans="1:39" ht="15.75" customHeight="1">
      <c r="A63" s="218"/>
      <c r="B63" s="358"/>
      <c r="C63" s="358"/>
      <c r="D63" s="358"/>
      <c r="E63" s="358"/>
      <c r="F63" s="220"/>
      <c r="G63" s="347"/>
      <c r="H63" s="348"/>
      <c r="I63" s="348"/>
      <c r="J63" s="348"/>
      <c r="K63" s="348"/>
      <c r="L63" s="348"/>
      <c r="M63" s="348"/>
      <c r="N63" s="348"/>
      <c r="O63" s="348"/>
      <c r="P63" s="348"/>
      <c r="Q63" s="349"/>
      <c r="R63" s="185"/>
      <c r="S63" s="205"/>
      <c r="T63" s="185"/>
      <c r="U63" s="185"/>
      <c r="V63" s="185"/>
      <c r="W63" s="220"/>
      <c r="X63" s="149"/>
    </row>
    <row r="64" spans="1:39" ht="15.75" customHeight="1" thickBot="1">
      <c r="A64" s="221"/>
      <c r="B64" s="207"/>
      <c r="C64" s="207"/>
      <c r="D64" s="207"/>
      <c r="E64" s="207"/>
      <c r="F64" s="216"/>
      <c r="G64" s="346" t="s">
        <v>282</v>
      </c>
      <c r="H64" s="344"/>
      <c r="I64" s="344"/>
      <c r="J64" s="344"/>
      <c r="K64" s="344"/>
      <c r="L64" s="344"/>
      <c r="M64" s="344"/>
      <c r="N64" s="344"/>
      <c r="O64" s="344"/>
      <c r="P64" s="344"/>
      <c r="Q64" s="345"/>
      <c r="R64" s="185"/>
      <c r="S64" s="205"/>
      <c r="T64" s="185"/>
      <c r="U64" s="185"/>
      <c r="V64" s="185"/>
      <c r="W64" s="220"/>
      <c r="X64" s="149"/>
    </row>
    <row r="65" spans="1:40" ht="15.75" customHeight="1" thickBot="1">
      <c r="A65" s="221"/>
      <c r="B65" s="207"/>
      <c r="C65" s="207"/>
      <c r="D65" s="207"/>
      <c r="E65" s="207"/>
      <c r="F65" s="216"/>
      <c r="G65" s="355" t="s">
        <v>169</v>
      </c>
      <c r="H65" s="356"/>
      <c r="I65" s="356"/>
      <c r="J65" s="356"/>
      <c r="K65" s="356"/>
      <c r="L65" s="356"/>
      <c r="M65" s="356"/>
      <c r="N65" s="356"/>
      <c r="O65" s="356"/>
      <c r="P65" s="356"/>
      <c r="Q65" s="357"/>
      <c r="R65" s="186"/>
      <c r="S65" s="206"/>
      <c r="T65" s="207"/>
      <c r="U65" s="207"/>
      <c r="V65" s="207"/>
      <c r="W65" s="247"/>
      <c r="X65" s="150"/>
    </row>
    <row r="66" spans="1:40" ht="15.75" customHeight="1" thickBot="1">
      <c r="A66" s="221"/>
      <c r="B66" s="207"/>
      <c r="C66" s="207"/>
      <c r="D66" s="207"/>
      <c r="E66" s="207"/>
      <c r="F66" s="216"/>
      <c r="G66" s="341" t="s">
        <v>283</v>
      </c>
      <c r="H66" s="342"/>
      <c r="I66" s="342"/>
      <c r="J66" s="342"/>
      <c r="K66" s="342"/>
      <c r="L66" s="342"/>
      <c r="M66" s="342"/>
      <c r="N66" s="342"/>
      <c r="O66" s="342"/>
      <c r="P66" s="342"/>
      <c r="Q66" s="343"/>
      <c r="R66" s="186"/>
      <c r="S66" s="206"/>
      <c r="T66" s="207"/>
      <c r="U66" s="207"/>
      <c r="V66" s="207"/>
      <c r="W66" s="247"/>
      <c r="X66" s="150"/>
    </row>
    <row r="67" spans="1:40" ht="15" customHeight="1" thickBot="1">
      <c r="A67" s="221"/>
      <c r="B67" s="207"/>
      <c r="C67" s="207"/>
      <c r="D67" s="207"/>
      <c r="E67" s="207"/>
      <c r="F67" s="216"/>
      <c r="G67" s="206"/>
      <c r="H67" s="207"/>
      <c r="I67" s="207"/>
      <c r="J67" s="214"/>
      <c r="K67" s="214"/>
      <c r="L67" s="214"/>
      <c r="M67" s="214"/>
      <c r="N67" s="214"/>
      <c r="O67" s="214"/>
      <c r="P67" s="215"/>
      <c r="Q67" s="216"/>
      <c r="R67" s="186"/>
      <c r="S67" s="206"/>
      <c r="T67" s="207"/>
      <c r="U67" s="207"/>
      <c r="V67" s="207"/>
      <c r="W67" s="247"/>
      <c r="X67" s="150"/>
      <c r="AI67"/>
      <c r="AJ67"/>
      <c r="AK67"/>
      <c r="AL67"/>
      <c r="AM67"/>
      <c r="AN67"/>
    </row>
    <row r="68" spans="1:40" ht="15" customHeight="1" thickBot="1">
      <c r="B68"/>
      <c r="C68"/>
      <c r="D68"/>
      <c r="E68"/>
      <c r="F68"/>
      <c r="G68" s="141"/>
      <c r="H68" s="141"/>
      <c r="I68" s="141"/>
      <c r="J68" s="140"/>
      <c r="K68" s="140"/>
      <c r="L68" s="140"/>
      <c r="M68" s="140"/>
      <c r="N68" s="140"/>
      <c r="O68" s="140"/>
      <c r="P68" s="187"/>
      <c r="Q68" s="140"/>
      <c r="R68" s="186"/>
      <c r="S68" s="206"/>
      <c r="T68" s="207"/>
      <c r="U68" s="207"/>
      <c r="V68" s="207"/>
      <c r="W68" s="247"/>
      <c r="X68" s="150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 s="141"/>
      <c r="H69" s="141"/>
      <c r="I69" s="141"/>
      <c r="J69" s="140"/>
      <c r="K69" s="188" t="s">
        <v>168</v>
      </c>
      <c r="L69" s="188"/>
      <c r="M69" s="188"/>
      <c r="N69" s="140"/>
      <c r="O69" s="140"/>
      <c r="P69" s="187"/>
      <c r="Q69" s="140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 s="141"/>
      <c r="H70" s="141"/>
      <c r="I70" s="141"/>
      <c r="J70" s="140"/>
      <c r="K70" s="140"/>
      <c r="L70" s="189"/>
      <c r="M70" s="189"/>
      <c r="N70" s="140"/>
      <c r="O70" s="140"/>
      <c r="P70" s="140"/>
      <c r="Q70" s="140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ynibyGB/aJi8/903J2FZYGMlnI5jDadpSxCE4hQLhwgPtA650PveqaVE/zxlweXrt5CYNRgjsSeEeX+mlJJ/1g==" saltValue="s77nWNzf6Bb6E6ZJMIUbaA==" spinCount="100000" sheet="1" objects="1" scenarios="1"/>
  <dataConsolidate/>
  <mergeCells count="112"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  <mergeCell ref="G17:H17"/>
    <mergeCell ref="G16:H16"/>
    <mergeCell ref="G15:H15"/>
    <mergeCell ref="G14:H14"/>
    <mergeCell ref="G7:Q8"/>
    <mergeCell ref="G12:H12"/>
    <mergeCell ref="G13:H13"/>
    <mergeCell ref="S17:T17"/>
    <mergeCell ref="S18:T18"/>
    <mergeCell ref="S7:W8"/>
    <mergeCell ref="S9:T9"/>
    <mergeCell ref="S10:T10"/>
    <mergeCell ref="S11:T11"/>
    <mergeCell ref="S12:T12"/>
    <mergeCell ref="S13:T13"/>
    <mergeCell ref="S16:T16"/>
    <mergeCell ref="S14:T14"/>
    <mergeCell ref="S15:T15"/>
    <mergeCell ref="U36:V36"/>
    <mergeCell ref="S24:T24"/>
    <mergeCell ref="S22:T22"/>
    <mergeCell ref="S23:T23"/>
    <mergeCell ref="S26:T26"/>
    <mergeCell ref="G23:H23"/>
    <mergeCell ref="G22:Q22"/>
    <mergeCell ref="G19:H19"/>
    <mergeCell ref="G18:H18"/>
    <mergeCell ref="S19:T19"/>
    <mergeCell ref="S21:T21"/>
    <mergeCell ref="G32:Q32"/>
    <mergeCell ref="G35:Q35"/>
    <mergeCell ref="G66:Q66"/>
    <mergeCell ref="T57:U57"/>
    <mergeCell ref="V57:W57"/>
    <mergeCell ref="G59:Q59"/>
    <mergeCell ref="G60:Q63"/>
    <mergeCell ref="G57:Q57"/>
    <mergeCell ref="G58:Q58"/>
    <mergeCell ref="B61:C61"/>
    <mergeCell ref="D61:E61"/>
    <mergeCell ref="B62:C62"/>
    <mergeCell ref="D62:E62"/>
    <mergeCell ref="G64:Q64"/>
    <mergeCell ref="G65:Q65"/>
    <mergeCell ref="B63:C63"/>
    <mergeCell ref="D63:E63"/>
    <mergeCell ref="G53:Q53"/>
    <mergeCell ref="G54:H54"/>
    <mergeCell ref="G55:H55"/>
    <mergeCell ref="G56:H56"/>
    <mergeCell ref="S42:W44"/>
    <mergeCell ref="S38:W41"/>
    <mergeCell ref="G50:H50"/>
    <mergeCell ref="B60:C60"/>
    <mergeCell ref="D60:E60"/>
    <mergeCell ref="G45:H45"/>
    <mergeCell ref="G47:H47"/>
    <mergeCell ref="G46:Q46"/>
    <mergeCell ref="G42:Q42"/>
    <mergeCell ref="B58:C58"/>
    <mergeCell ref="D58:E58"/>
    <mergeCell ref="B56:C56"/>
    <mergeCell ref="D56:E56"/>
    <mergeCell ref="B57:C57"/>
    <mergeCell ref="D57:E57"/>
    <mergeCell ref="B59:C59"/>
    <mergeCell ref="D59:E59"/>
    <mergeCell ref="G51:H51"/>
    <mergeCell ref="G52:H52"/>
    <mergeCell ref="G49:Q49"/>
    <mergeCell ref="G48:H48"/>
    <mergeCell ref="S32:V32"/>
    <mergeCell ref="S33:T33"/>
    <mergeCell ref="B7:E8"/>
    <mergeCell ref="B10:E10"/>
    <mergeCell ref="U37:V37"/>
    <mergeCell ref="S25:T25"/>
    <mergeCell ref="G24:H24"/>
    <mergeCell ref="S20:T20"/>
    <mergeCell ref="S29:U29"/>
    <mergeCell ref="S30:U30"/>
    <mergeCell ref="G28:H28"/>
    <mergeCell ref="G26:H26"/>
    <mergeCell ref="G27:H27"/>
    <mergeCell ref="S37:T37"/>
    <mergeCell ref="G43:H43"/>
    <mergeCell ref="G44:H44"/>
    <mergeCell ref="S27:U27"/>
    <mergeCell ref="S28:U28"/>
    <mergeCell ref="U33:V33"/>
    <mergeCell ref="S34:T34"/>
    <mergeCell ref="S35:T35"/>
    <mergeCell ref="S31:U31"/>
    <mergeCell ref="S36:T36"/>
  </mergeCells>
  <conditionalFormatting sqref="V30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11:V19 V21:V26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4:X34">
    <cfRule type="expression" dxfId="4" priority="2">
      <formula>$W$34="Min Floor Rate Not Met!!!"</formula>
    </cfRule>
    <cfRule type="expression" dxfId="3" priority="3">
      <formula>$W$34="Min Floor Rate Met"</formula>
    </cfRule>
    <cfRule type="containsErrors" dxfId="2" priority="4">
      <formula>ISERROR(W34)</formula>
    </cfRule>
  </conditionalFormatting>
  <conditionalFormatting sqref="G60">
    <cfRule type="containsText" dxfId="1" priority="1" operator="containsText" text="n/a">
      <formula>NOT(ISERROR(SEARCH("n/a",G60)))</formula>
    </cfRule>
  </conditionalFormatting>
  <hyperlinks>
    <hyperlink ref="G65" r:id="rId1" display="https://loanstreamwholesale.com/wp-content/uploads/2022/04/LSM-X-UND_FEESALLOWED-WHOLESALE-04-18-22.pdf" xr:uid="{058176BB-FB0F-493D-B40B-E9F476A04A21}"/>
    <hyperlink ref="K70:M70" r:id="rId2" display="Click Here" xr:uid="{CCD91612-C50A-4EEA-AC37-9834655071CC}"/>
  </hyperlinks>
  <pageMargins left="0.25" right="0.25" top="0.75" bottom="0.75" header="0.3" footer="0.3"/>
  <pageSetup paperSize="5" scale="46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U25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U23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U22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U24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  <x14:dataValidation type="list" allowBlank="1" showInputMessage="1" showErrorMessage="1" xr:uid="{639C3A0E-D58A-491A-BA35-A515E27B3EFF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baseColWidth="10" defaultColWidth="9.1640625" defaultRowHeight="15"/>
  <cols>
    <col min="1" max="2" width="25" style="262" customWidth="1"/>
    <col min="3" max="3" width="7.5" style="262" customWidth="1"/>
    <col min="4" max="4" width="21" style="262" customWidth="1"/>
    <col min="5" max="5" width="25" style="262" customWidth="1"/>
    <col min="6" max="6" width="10.83203125" style="262" customWidth="1"/>
    <col min="7" max="16384" width="9.1640625" style="262"/>
  </cols>
  <sheetData>
    <row r="1" spans="1:6" ht="98.25" customHeight="1">
      <c r="A1" s="405" t="s">
        <v>298</v>
      </c>
      <c r="B1" s="405"/>
      <c r="C1" s="405"/>
      <c r="D1" s="406" t="s">
        <v>299</v>
      </c>
      <c r="E1" s="406"/>
      <c r="F1" s="406"/>
    </row>
    <row r="2" spans="1:6">
      <c r="A2" s="407" t="s">
        <v>300</v>
      </c>
      <c r="B2" s="408"/>
      <c r="C2" s="408"/>
      <c r="D2" s="408"/>
      <c r="E2" s="409"/>
      <c r="F2" s="263"/>
    </row>
    <row r="3" spans="1:6" ht="16">
      <c r="A3" s="264" t="s">
        <v>301</v>
      </c>
      <c r="B3" s="264" t="s">
        <v>302</v>
      </c>
      <c r="C3" s="403" t="s">
        <v>303</v>
      </c>
      <c r="D3" s="404"/>
      <c r="E3" s="264" t="s">
        <v>304</v>
      </c>
      <c r="F3" s="263"/>
    </row>
    <row r="4" spans="1:6" ht="16">
      <c r="A4" s="264" t="s">
        <v>305</v>
      </c>
      <c r="B4" s="264" t="s">
        <v>306</v>
      </c>
      <c r="C4" s="403" t="s">
        <v>307</v>
      </c>
      <c r="D4" s="404"/>
      <c r="E4" s="264" t="s">
        <v>308</v>
      </c>
      <c r="F4" s="263"/>
    </row>
    <row r="5" spans="1:6" ht="16">
      <c r="A5" s="264" t="s">
        <v>309</v>
      </c>
      <c r="B5" s="264" t="s">
        <v>310</v>
      </c>
      <c r="C5" s="403" t="s">
        <v>311</v>
      </c>
      <c r="D5" s="404"/>
      <c r="E5" s="264" t="s">
        <v>312</v>
      </c>
      <c r="F5" s="263"/>
    </row>
    <row r="6" spans="1:6" ht="16">
      <c r="A6" s="264" t="s">
        <v>313</v>
      </c>
      <c r="B6" s="264" t="s">
        <v>314</v>
      </c>
      <c r="C6" s="403" t="s">
        <v>315</v>
      </c>
      <c r="D6" s="404"/>
      <c r="E6" s="264" t="s">
        <v>316</v>
      </c>
      <c r="F6" s="263"/>
    </row>
    <row r="7" spans="1:6" ht="16">
      <c r="A7" s="264" t="s">
        <v>317</v>
      </c>
      <c r="B7" s="264" t="s">
        <v>318</v>
      </c>
      <c r="C7" s="403" t="s">
        <v>319</v>
      </c>
      <c r="D7" s="404"/>
      <c r="E7" s="265"/>
      <c r="F7" s="263"/>
    </row>
    <row r="8" spans="1:6">
      <c r="A8" s="407" t="s">
        <v>320</v>
      </c>
      <c r="B8" s="408"/>
      <c r="C8" s="408"/>
      <c r="D8" s="408"/>
      <c r="E8" s="409"/>
      <c r="F8" s="263"/>
    </row>
    <row r="9" spans="1:6" ht="16">
      <c r="A9" s="264" t="s">
        <v>321</v>
      </c>
      <c r="B9" s="264" t="s">
        <v>322</v>
      </c>
      <c r="C9" s="403" t="s">
        <v>323</v>
      </c>
      <c r="D9" s="404"/>
      <c r="E9" s="264" t="s">
        <v>324</v>
      </c>
      <c r="F9" s="263"/>
    </row>
    <row r="10" spans="1:6" ht="16">
      <c r="A10" s="264" t="s">
        <v>325</v>
      </c>
      <c r="B10" s="264" t="s">
        <v>326</v>
      </c>
      <c r="C10" s="403" t="s">
        <v>327</v>
      </c>
      <c r="D10" s="404"/>
      <c r="E10" s="264" t="s">
        <v>328</v>
      </c>
      <c r="F10" s="263"/>
    </row>
    <row r="11" spans="1:6" ht="16">
      <c r="A11" s="264" t="s">
        <v>329</v>
      </c>
      <c r="B11" s="264" t="s">
        <v>330</v>
      </c>
      <c r="C11" s="403" t="s">
        <v>331</v>
      </c>
      <c r="D11" s="404"/>
      <c r="E11" s="264" t="s">
        <v>332</v>
      </c>
      <c r="F11" s="263"/>
    </row>
    <row r="12" spans="1:6" ht="16">
      <c r="A12" s="264" t="s">
        <v>333</v>
      </c>
      <c r="B12" s="264" t="s">
        <v>334</v>
      </c>
      <c r="C12" s="403" t="s">
        <v>335</v>
      </c>
      <c r="D12" s="404"/>
      <c r="E12" s="264" t="s">
        <v>336</v>
      </c>
      <c r="F12" s="263"/>
    </row>
    <row r="13" spans="1:6" ht="16">
      <c r="A13" s="264" t="s">
        <v>337</v>
      </c>
      <c r="B13" s="264" t="s">
        <v>338</v>
      </c>
      <c r="C13" s="403" t="s">
        <v>339</v>
      </c>
      <c r="D13" s="404"/>
      <c r="E13" s="264" t="s">
        <v>340</v>
      </c>
      <c r="F13" s="263"/>
    </row>
    <row r="14" spans="1:6" ht="16">
      <c r="A14" s="264" t="s">
        <v>341</v>
      </c>
      <c r="B14" s="264" t="s">
        <v>342</v>
      </c>
      <c r="C14" s="403" t="s">
        <v>343</v>
      </c>
      <c r="D14" s="404"/>
      <c r="E14" s="264" t="s">
        <v>344</v>
      </c>
      <c r="F14" s="263"/>
    </row>
    <row r="15" spans="1:6" ht="16">
      <c r="A15" s="264" t="s">
        <v>345</v>
      </c>
      <c r="B15" s="264" t="s">
        <v>346</v>
      </c>
      <c r="C15" s="403" t="s">
        <v>347</v>
      </c>
      <c r="D15" s="404"/>
      <c r="E15" s="264" t="s">
        <v>348</v>
      </c>
      <c r="F15" s="263"/>
    </row>
    <row r="16" spans="1:6" ht="16">
      <c r="A16" s="264" t="s">
        <v>349</v>
      </c>
      <c r="B16" s="264" t="s">
        <v>350</v>
      </c>
      <c r="C16" s="403" t="s">
        <v>351</v>
      </c>
      <c r="D16" s="404"/>
      <c r="E16" s="265"/>
      <c r="F16" s="263"/>
    </row>
  </sheetData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baseColWidth="10" defaultColWidth="9.1640625" defaultRowHeight="13"/>
  <cols>
    <col min="1" max="1" width="2.33203125" style="3" customWidth="1"/>
    <col min="2" max="2" width="1.33203125" style="3" customWidth="1"/>
    <col min="3" max="3" width="8.6640625" style="3" customWidth="1"/>
    <col min="4" max="4" width="10" style="3" bestFit="1" customWidth="1"/>
    <col min="5" max="5" width="8.6640625" style="3" customWidth="1"/>
    <col min="6" max="6" width="7.33203125" style="3" customWidth="1"/>
    <col min="7" max="7" width="7.5" style="3" customWidth="1"/>
    <col min="8" max="8" width="13.83203125" style="3" customWidth="1"/>
    <col min="9" max="9" width="12.33203125" style="3" customWidth="1"/>
    <col min="10" max="10" width="14.1640625" style="3" customWidth="1"/>
    <col min="11" max="11" width="9.1640625" style="3"/>
    <col min="12" max="12" width="2.5" style="3" customWidth="1"/>
    <col min="13" max="13" width="2.83203125" style="3" customWidth="1"/>
    <col min="14" max="14" width="12.1640625" style="3" customWidth="1"/>
    <col min="15" max="15" width="5.83203125" style="3" customWidth="1"/>
    <col min="16" max="16" width="4.1640625" style="3" customWidth="1"/>
    <col min="17" max="17" width="12.33203125" style="3" bestFit="1" customWidth="1"/>
    <col min="18" max="18" width="9.1640625" style="3"/>
    <col min="19" max="19" width="5.6640625" style="3" customWidth="1"/>
    <col min="20" max="20" width="14.5" style="3" customWidth="1"/>
    <col min="21" max="21" width="4" style="3" customWidth="1"/>
    <col min="22" max="22" width="0.83203125" style="3" customWidth="1"/>
    <col min="23" max="16384" width="9.16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 ht="14">
      <c r="B3" s="21"/>
      <c r="M3" s="22"/>
      <c r="V3" s="9"/>
    </row>
    <row r="4" spans="2:22" ht="14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 ht="14">
      <c r="B12" s="429" t="s">
        <v>44</v>
      </c>
      <c r="C12" s="430"/>
      <c r="D12" s="430"/>
      <c r="E12" s="430"/>
      <c r="F12" s="430"/>
      <c r="G12" s="430"/>
      <c r="H12" s="430"/>
      <c r="I12" s="430"/>
      <c r="J12" s="430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1"/>
    </row>
    <row r="13" spans="2:22" ht="1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74" t="s">
        <v>45</v>
      </c>
      <c r="D14" s="475"/>
      <c r="E14" s="476"/>
      <c r="F14" s="451" t="s">
        <v>46</v>
      </c>
      <c r="G14" s="452"/>
      <c r="H14" s="5"/>
      <c r="I14" s="433" t="s">
        <v>47</v>
      </c>
      <c r="J14" s="434"/>
      <c r="K14" s="435"/>
      <c r="M14" s="5"/>
      <c r="N14" s="471" t="s">
        <v>48</v>
      </c>
      <c r="O14" s="472"/>
      <c r="P14" s="472"/>
      <c r="Q14" s="472"/>
      <c r="R14" s="472"/>
      <c r="S14" s="472"/>
      <c r="T14" s="472"/>
      <c r="U14" s="473"/>
      <c r="V14" s="9"/>
    </row>
    <row r="15" spans="2:22" ht="17.25" customHeight="1" thickBot="1">
      <c r="B15" s="25"/>
      <c r="C15" s="45" t="s">
        <v>49</v>
      </c>
      <c r="D15" s="477">
        <v>1295</v>
      </c>
      <c r="E15" s="478"/>
      <c r="F15" s="455">
        <v>-0.25</v>
      </c>
      <c r="G15" s="456"/>
      <c r="H15" s="5"/>
      <c r="I15" s="436" t="s">
        <v>50</v>
      </c>
      <c r="J15" s="437"/>
      <c r="K15" s="438"/>
      <c r="M15" s="5"/>
      <c r="N15" s="458" t="s">
        <v>51</v>
      </c>
      <c r="O15" s="459"/>
      <c r="P15" s="460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79" t="s">
        <v>54</v>
      </c>
      <c r="D16" s="480"/>
      <c r="E16" s="481"/>
      <c r="F16" s="451" t="s">
        <v>55</v>
      </c>
      <c r="G16" s="452"/>
      <c r="H16" s="5"/>
      <c r="I16" s="439"/>
      <c r="J16" s="440"/>
      <c r="K16" s="441"/>
      <c r="M16" s="5"/>
      <c r="N16" s="461"/>
      <c r="O16" s="462"/>
      <c r="P16" s="463"/>
      <c r="Q16" s="30" t="s">
        <v>56</v>
      </c>
      <c r="R16" s="432" t="s">
        <v>57</v>
      </c>
      <c r="S16" s="432"/>
      <c r="T16" s="432"/>
      <c r="U16" s="34"/>
      <c r="V16" s="9"/>
    </row>
    <row r="17" spans="2:22" ht="17.25" customHeight="1" thickBot="1">
      <c r="B17" s="25"/>
      <c r="C17" s="482">
        <v>79</v>
      </c>
      <c r="D17" s="483"/>
      <c r="E17" s="484"/>
      <c r="F17" s="455" t="s">
        <v>58</v>
      </c>
      <c r="G17" s="456"/>
      <c r="H17" s="5"/>
      <c r="I17" s="442"/>
      <c r="J17" s="443"/>
      <c r="K17" s="444"/>
      <c r="M17" s="5"/>
      <c r="N17" s="448"/>
      <c r="O17" s="449"/>
      <c r="P17" s="450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45" t="s">
        <v>59</v>
      </c>
      <c r="O18" s="446"/>
      <c r="P18" s="447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48"/>
      <c r="O19" s="449"/>
      <c r="P19" s="450"/>
      <c r="Q19" s="30" t="s">
        <v>56</v>
      </c>
      <c r="R19" s="453" t="s">
        <v>61</v>
      </c>
      <c r="S19" s="453"/>
      <c r="T19" s="453"/>
      <c r="U19" s="454"/>
      <c r="V19" s="9"/>
    </row>
    <row r="20" spans="2:22" ht="13.5" customHeight="1" thickBot="1">
      <c r="B20" s="25"/>
      <c r="C20" s="464" t="s">
        <v>62</v>
      </c>
      <c r="D20" s="465"/>
      <c r="E20" s="465"/>
      <c r="F20" s="465"/>
      <c r="G20" s="465"/>
      <c r="H20" s="465"/>
      <c r="I20" s="465"/>
      <c r="J20" s="466"/>
      <c r="M20" s="5"/>
      <c r="N20" s="445" t="s">
        <v>63</v>
      </c>
      <c r="O20" s="446"/>
      <c r="P20" s="447"/>
      <c r="Q20" s="67" t="s">
        <v>52</v>
      </c>
      <c r="R20" s="68" t="s">
        <v>60</v>
      </c>
      <c r="S20" s="68"/>
      <c r="T20" s="68"/>
      <c r="U20" s="69"/>
      <c r="V20" s="9"/>
    </row>
    <row r="21" spans="2:22" ht="15.75" customHeight="1" thickBot="1">
      <c r="B21" s="25"/>
      <c r="C21" s="414" t="s">
        <v>64</v>
      </c>
      <c r="D21" s="413"/>
      <c r="E21" s="413" t="s">
        <v>65</v>
      </c>
      <c r="F21" s="413"/>
      <c r="G21" s="413" t="s">
        <v>66</v>
      </c>
      <c r="H21" s="413"/>
      <c r="I21" s="413"/>
      <c r="J21" s="47" t="s">
        <v>67</v>
      </c>
      <c r="M21" s="5"/>
      <c r="N21" s="448"/>
      <c r="O21" s="449"/>
      <c r="P21" s="450"/>
      <c r="Q21" s="12" t="s">
        <v>56</v>
      </c>
      <c r="R21" s="457" t="s">
        <v>68</v>
      </c>
      <c r="S21" s="457"/>
      <c r="T21" s="457"/>
      <c r="U21" s="36"/>
      <c r="V21" s="9"/>
    </row>
    <row r="22" spans="2:22" ht="14">
      <c r="B22" s="25"/>
      <c r="C22" s="469" t="s">
        <v>69</v>
      </c>
      <c r="D22" s="470"/>
      <c r="E22" s="428" t="s">
        <v>70</v>
      </c>
      <c r="F22" s="428"/>
      <c r="G22" s="428" t="s">
        <v>71</v>
      </c>
      <c r="H22" s="428"/>
      <c r="I22" s="428"/>
      <c r="J22" s="46" t="s">
        <v>72</v>
      </c>
      <c r="M22" s="5"/>
      <c r="N22" s="416" t="s">
        <v>73</v>
      </c>
      <c r="O22" s="417"/>
      <c r="P22" s="418"/>
      <c r="Q22" s="70" t="s">
        <v>52</v>
      </c>
      <c r="R22" s="70" t="s">
        <v>60</v>
      </c>
      <c r="S22" s="70"/>
      <c r="T22" s="70"/>
      <c r="U22" s="71"/>
      <c r="V22" s="9"/>
    </row>
    <row r="23" spans="2:22" ht="14">
      <c r="B23" s="25"/>
      <c r="C23" s="467" t="s">
        <v>74</v>
      </c>
      <c r="D23" s="468"/>
      <c r="E23" s="410" t="s">
        <v>70</v>
      </c>
      <c r="F23" s="411"/>
      <c r="G23" s="410" t="s">
        <v>75</v>
      </c>
      <c r="H23" s="412"/>
      <c r="I23" s="411"/>
      <c r="J23" s="72"/>
      <c r="M23" s="5"/>
      <c r="N23" s="419"/>
      <c r="O23" s="420"/>
      <c r="P23" s="421"/>
      <c r="Q23" s="14" t="s">
        <v>56</v>
      </c>
      <c r="R23" s="13" t="s">
        <v>76</v>
      </c>
      <c r="S23" s="13"/>
      <c r="T23" s="13"/>
      <c r="U23" s="37"/>
      <c r="V23" s="9"/>
    </row>
    <row r="24" spans="2:22" ht="14">
      <c r="B24" s="25"/>
      <c r="C24" s="467" t="s">
        <v>77</v>
      </c>
      <c r="D24" s="468"/>
      <c r="E24" s="410" t="s">
        <v>70</v>
      </c>
      <c r="F24" s="411"/>
      <c r="G24" s="410" t="s">
        <v>78</v>
      </c>
      <c r="H24" s="412"/>
      <c r="I24" s="411"/>
      <c r="J24" s="72" t="s">
        <v>72</v>
      </c>
      <c r="L24" s="27"/>
      <c r="M24" s="5"/>
      <c r="N24" s="416" t="s">
        <v>79</v>
      </c>
      <c r="O24" s="417"/>
      <c r="P24" s="418"/>
      <c r="Q24" s="10" t="s">
        <v>52</v>
      </c>
      <c r="R24" s="10" t="s">
        <v>80</v>
      </c>
      <c r="S24" s="10"/>
      <c r="T24" s="10"/>
      <c r="U24" s="38"/>
      <c r="V24" s="9"/>
    </row>
    <row r="25" spans="2:22" ht="14">
      <c r="B25" s="25"/>
      <c r="C25" s="467" t="s">
        <v>81</v>
      </c>
      <c r="D25" s="468"/>
      <c r="E25" s="410" t="s">
        <v>70</v>
      </c>
      <c r="F25" s="411"/>
      <c r="G25" s="410" t="s">
        <v>78</v>
      </c>
      <c r="H25" s="412"/>
      <c r="I25" s="411"/>
      <c r="J25" s="72" t="s">
        <v>72</v>
      </c>
      <c r="M25" s="5"/>
      <c r="N25" s="419"/>
      <c r="O25" s="420"/>
      <c r="P25" s="421"/>
      <c r="Q25" s="30" t="s">
        <v>56</v>
      </c>
      <c r="R25" s="432" t="s">
        <v>82</v>
      </c>
      <c r="S25" s="432"/>
      <c r="T25" s="432"/>
      <c r="U25" s="34"/>
      <c r="V25" s="9"/>
    </row>
    <row r="26" spans="2:22" ht="14">
      <c r="B26" s="25"/>
      <c r="C26" s="467" t="s">
        <v>83</v>
      </c>
      <c r="D26" s="468"/>
      <c r="E26" s="410" t="s">
        <v>84</v>
      </c>
      <c r="F26" s="411"/>
      <c r="G26" s="410" t="s">
        <v>71</v>
      </c>
      <c r="H26" s="412"/>
      <c r="I26" s="411"/>
      <c r="J26" s="72" t="s">
        <v>85</v>
      </c>
      <c r="M26" s="5"/>
      <c r="N26" s="416" t="s">
        <v>86</v>
      </c>
      <c r="O26" s="417"/>
      <c r="P26" s="418"/>
      <c r="Q26" s="73" t="s">
        <v>52</v>
      </c>
      <c r="R26" s="70" t="s">
        <v>60</v>
      </c>
      <c r="S26" s="70"/>
      <c r="T26" s="70"/>
      <c r="U26" s="71"/>
      <c r="V26" s="9"/>
    </row>
    <row r="27" spans="2:22" ht="14">
      <c r="B27" s="25"/>
      <c r="C27" s="467" t="s">
        <v>87</v>
      </c>
      <c r="D27" s="468"/>
      <c r="E27" s="410" t="s">
        <v>88</v>
      </c>
      <c r="F27" s="411"/>
      <c r="G27" s="410" t="s">
        <v>89</v>
      </c>
      <c r="H27" s="412"/>
      <c r="I27" s="411"/>
      <c r="J27" s="72" t="s">
        <v>90</v>
      </c>
      <c r="M27" s="5"/>
      <c r="N27" s="419"/>
      <c r="O27" s="420"/>
      <c r="P27" s="421"/>
      <c r="Q27" s="15" t="s">
        <v>56</v>
      </c>
      <c r="R27" s="415" t="s">
        <v>91</v>
      </c>
      <c r="S27" s="415"/>
      <c r="T27" s="415"/>
      <c r="U27" s="51"/>
      <c r="V27" s="9"/>
    </row>
    <row r="28" spans="2:22" ht="14">
      <c r="B28" s="25"/>
      <c r="C28" s="467" t="s">
        <v>92</v>
      </c>
      <c r="D28" s="468"/>
      <c r="E28" s="410" t="s">
        <v>88</v>
      </c>
      <c r="F28" s="411"/>
      <c r="G28" s="410" t="s">
        <v>78</v>
      </c>
      <c r="H28" s="412"/>
      <c r="I28" s="411"/>
      <c r="J28" s="72" t="s">
        <v>93</v>
      </c>
      <c r="M28" s="5"/>
      <c r="N28" s="416" t="s">
        <v>94</v>
      </c>
      <c r="O28" s="417"/>
      <c r="P28" s="418"/>
      <c r="Q28" s="31" t="s">
        <v>52</v>
      </c>
      <c r="R28" s="31" t="s">
        <v>60</v>
      </c>
      <c r="S28" s="31"/>
      <c r="T28" s="31"/>
      <c r="U28" s="39"/>
      <c r="V28" s="9"/>
    </row>
    <row r="29" spans="2:22" ht="14">
      <c r="B29" s="25"/>
      <c r="C29" s="467" t="s">
        <v>95</v>
      </c>
      <c r="D29" s="468"/>
      <c r="E29" s="410" t="s">
        <v>88</v>
      </c>
      <c r="F29" s="411"/>
      <c r="G29" s="410" t="s">
        <v>96</v>
      </c>
      <c r="H29" s="412"/>
      <c r="I29" s="411"/>
      <c r="J29" s="72" t="s">
        <v>97</v>
      </c>
      <c r="M29" s="5"/>
      <c r="N29" s="422"/>
      <c r="O29" s="423"/>
      <c r="P29" s="424"/>
      <c r="Q29" s="31" t="s">
        <v>56</v>
      </c>
      <c r="R29" s="425" t="s">
        <v>98</v>
      </c>
      <c r="S29" s="425"/>
      <c r="T29" s="425"/>
      <c r="U29" s="39"/>
      <c r="V29" s="9"/>
    </row>
    <row r="30" spans="2:22" ht="14">
      <c r="B30" s="25"/>
      <c r="C30" s="467" t="s">
        <v>99</v>
      </c>
      <c r="D30" s="468"/>
      <c r="E30" s="410" t="s">
        <v>88</v>
      </c>
      <c r="F30" s="411"/>
      <c r="G30" s="410" t="s">
        <v>100</v>
      </c>
      <c r="H30" s="412"/>
      <c r="I30" s="411"/>
      <c r="J30" s="72" t="s">
        <v>97</v>
      </c>
      <c r="M30" s="5"/>
      <c r="N30" s="445" t="s">
        <v>101</v>
      </c>
      <c r="O30" s="446"/>
      <c r="P30" s="446"/>
      <c r="Q30" s="73" t="s">
        <v>102</v>
      </c>
      <c r="R30" s="70" t="s">
        <v>103</v>
      </c>
      <c r="S30" s="70"/>
      <c r="T30" s="70"/>
      <c r="U30" s="71"/>
      <c r="V30" s="9"/>
    </row>
    <row r="31" spans="2:22" ht="15" thickBot="1">
      <c r="B31" s="25"/>
      <c r="C31" s="496" t="s">
        <v>104</v>
      </c>
      <c r="D31" s="497"/>
      <c r="E31" s="426" t="s">
        <v>88</v>
      </c>
      <c r="F31" s="427"/>
      <c r="G31" s="426" t="s">
        <v>105</v>
      </c>
      <c r="H31" s="495"/>
      <c r="I31" s="427"/>
      <c r="J31" s="74" t="s">
        <v>106</v>
      </c>
      <c r="M31" s="5"/>
      <c r="N31" s="461"/>
      <c r="O31" s="462"/>
      <c r="P31" s="462"/>
      <c r="Q31" s="43" t="s">
        <v>56</v>
      </c>
      <c r="R31" s="425" t="s">
        <v>107</v>
      </c>
      <c r="S31" s="425"/>
      <c r="T31" s="425"/>
      <c r="U31" s="39"/>
      <c r="V31" s="9"/>
    </row>
    <row r="32" spans="2:22" ht="14">
      <c r="B32" s="25"/>
      <c r="I32" s="5"/>
      <c r="M32" s="5"/>
      <c r="N32" s="461"/>
      <c r="O32" s="462"/>
      <c r="P32" s="462"/>
      <c r="Q32" s="73" t="s">
        <v>102</v>
      </c>
      <c r="R32" s="70" t="s">
        <v>108</v>
      </c>
      <c r="S32" s="70"/>
      <c r="T32" s="70"/>
      <c r="U32" s="71"/>
      <c r="V32" s="9"/>
    </row>
    <row r="33" spans="2:22" ht="14">
      <c r="B33" s="25"/>
      <c r="G33" s="29"/>
      <c r="H33" s="29"/>
      <c r="M33" s="5"/>
      <c r="N33" s="461"/>
      <c r="O33" s="462"/>
      <c r="P33" s="462"/>
      <c r="Q33" s="15" t="s">
        <v>56</v>
      </c>
      <c r="R33" s="415" t="s">
        <v>109</v>
      </c>
      <c r="S33" s="415"/>
      <c r="T33" s="415"/>
      <c r="U33" s="40"/>
      <c r="V33" s="9"/>
    </row>
    <row r="34" spans="2:22" ht="14">
      <c r="B34" s="25"/>
      <c r="G34" s="29"/>
      <c r="H34" s="29"/>
      <c r="M34" s="5"/>
      <c r="N34" s="461"/>
      <c r="O34" s="462"/>
      <c r="P34" s="462"/>
      <c r="Q34" s="73" t="s">
        <v>102</v>
      </c>
      <c r="R34" s="70" t="s">
        <v>110</v>
      </c>
      <c r="S34" s="70"/>
      <c r="T34" s="70"/>
      <c r="U34" s="75"/>
      <c r="V34" s="9"/>
    </row>
    <row r="35" spans="2:22" ht="14">
      <c r="B35" s="25"/>
      <c r="G35" s="29"/>
      <c r="H35" s="29"/>
      <c r="M35" s="5"/>
      <c r="N35" s="461"/>
      <c r="O35" s="462"/>
      <c r="P35" s="462"/>
      <c r="Q35" s="15" t="s">
        <v>56</v>
      </c>
      <c r="R35" s="415" t="s">
        <v>111</v>
      </c>
      <c r="S35" s="415"/>
      <c r="T35" s="415"/>
      <c r="U35" s="40"/>
      <c r="V35" s="9"/>
    </row>
    <row r="36" spans="2:22" ht="14">
      <c r="B36" s="25"/>
      <c r="G36" s="29"/>
      <c r="H36" s="29"/>
      <c r="M36" s="5"/>
      <c r="N36" s="461"/>
      <c r="O36" s="462"/>
      <c r="P36" s="462"/>
      <c r="Q36" s="43" t="s">
        <v>102</v>
      </c>
      <c r="R36" s="31" t="s">
        <v>112</v>
      </c>
      <c r="S36" s="31"/>
      <c r="T36" s="31"/>
      <c r="U36" s="41"/>
      <c r="V36" s="9"/>
    </row>
    <row r="37" spans="2:22" ht="14">
      <c r="B37" s="25"/>
      <c r="C37" s="491"/>
      <c r="D37" s="491"/>
      <c r="F37" s="491"/>
      <c r="G37" s="491"/>
      <c r="H37" s="29"/>
      <c r="I37" s="491"/>
      <c r="J37" s="491"/>
      <c r="M37" s="5"/>
      <c r="N37" s="461"/>
      <c r="O37" s="462"/>
      <c r="P37" s="462"/>
      <c r="Q37" s="15" t="s">
        <v>56</v>
      </c>
      <c r="R37" s="415" t="s">
        <v>113</v>
      </c>
      <c r="S37" s="415"/>
      <c r="T37" s="415"/>
      <c r="U37" s="40"/>
      <c r="V37" s="9"/>
    </row>
    <row r="38" spans="2:22" ht="14">
      <c r="B38" s="25"/>
      <c r="G38" s="29"/>
      <c r="H38" s="29"/>
      <c r="M38" s="5"/>
      <c r="N38" s="461"/>
      <c r="O38" s="462"/>
      <c r="P38" s="462"/>
      <c r="Q38" s="43" t="s">
        <v>102</v>
      </c>
      <c r="R38" s="31" t="s">
        <v>114</v>
      </c>
      <c r="S38" s="31"/>
      <c r="T38" s="31"/>
      <c r="U38" s="41"/>
      <c r="V38" s="9"/>
    </row>
    <row r="39" spans="2:22" ht="15" thickBot="1">
      <c r="B39" s="25"/>
      <c r="C39" s="491"/>
      <c r="D39" s="491"/>
      <c r="F39" s="491"/>
      <c r="G39" s="491"/>
      <c r="H39" s="29"/>
      <c r="I39" s="491"/>
      <c r="J39" s="491"/>
      <c r="M39" s="5"/>
      <c r="N39" s="493"/>
      <c r="O39" s="494"/>
      <c r="P39" s="494"/>
      <c r="Q39" s="44" t="s">
        <v>56</v>
      </c>
      <c r="R39" s="492" t="s">
        <v>115</v>
      </c>
      <c r="S39" s="492"/>
      <c r="T39" s="492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 ht="14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 ht="14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88" t="s">
        <v>116</v>
      </c>
      <c r="C44" s="489"/>
      <c r="D44" s="489"/>
      <c r="E44" s="489"/>
      <c r="F44" s="489"/>
      <c r="G44" s="489"/>
      <c r="H44" s="489"/>
      <c r="I44" s="489"/>
      <c r="J44" s="489"/>
      <c r="K44" s="489"/>
      <c r="L44" s="489"/>
      <c r="M44" s="489"/>
      <c r="N44" s="489"/>
      <c r="O44" s="489"/>
      <c r="P44" s="489"/>
      <c r="Q44" s="489"/>
      <c r="R44" s="489"/>
      <c r="S44" s="489"/>
      <c r="T44" s="489"/>
      <c r="U44" s="489"/>
      <c r="V44" s="490"/>
    </row>
    <row r="45" spans="2:22" ht="14" customHeight="1" thickBot="1">
      <c r="B45" s="485" t="s">
        <v>117</v>
      </c>
      <c r="C45" s="486"/>
      <c r="D45" s="486"/>
      <c r="E45" s="486"/>
      <c r="F45" s="486"/>
      <c r="G45" s="486"/>
      <c r="H45" s="486"/>
      <c r="I45" s="486"/>
      <c r="J45" s="486"/>
      <c r="K45" s="486"/>
      <c r="L45" s="486"/>
      <c r="M45" s="486"/>
      <c r="N45" s="486"/>
      <c r="O45" s="486"/>
      <c r="P45" s="486"/>
      <c r="Q45" s="486"/>
      <c r="R45" s="486"/>
      <c r="S45" s="486"/>
      <c r="T45" s="486"/>
      <c r="U45" s="486"/>
      <c r="V45" s="487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baseColWidth="10" defaultColWidth="8.83203125"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(FL)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Christopher Lagowski</cp:lastModifiedBy>
  <cp:revision/>
  <cp:lastPrinted>2026-10-23T13:53:41Z</cp:lastPrinted>
  <dcterms:created xsi:type="dcterms:W3CDTF">2019-03-27T01:13:56Z</dcterms:created>
  <dcterms:modified xsi:type="dcterms:W3CDTF">2026-10-23T15:37:49Z</dcterms:modified>
  <cp:category/>
  <cp:contentStatus/>
</cp:coreProperties>
</file>