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 codeName="{52B413DB-416B-A148-0A32-6202AF4EA34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chrislagowski/Downloads/"/>
    </mc:Choice>
  </mc:AlternateContent>
  <xr:revisionPtr revIDLastSave="0" documentId="13_ncr:1_{280BCCD6-81BA-FC4F-8DD4-A91F4AA0DF74}" xr6:coauthVersionLast="47" xr6:coauthVersionMax="47" xr10:uidLastSave="{00000000-0000-0000-0000-000000000000}"/>
  <workbookProtection workbookAlgorithmName="SHA-512" workbookHashValue="PHVVmbzuOlv3kiYRDgLmOg+1FwWQKAsnBgGFUz5ur8YisbF3nye6vN6tyWF1r9+HHEKQ8F2RC/ZNYvupl6qaxw==" workbookSaltValue="1YL2Fof9Jq+Ci+B5T/kCrQ==" workbookSpinCount="100000" lockStructure="1"/>
  <bookViews>
    <workbookView xWindow="4160" yWindow="2680" windowWidth="25240" windowHeight="16640" tabRatio="771" activeTab="1" xr2:uid="{BF5CB3E8-408D-4CDF-9AED-AE3F28DDF411}"/>
  </bookViews>
  <sheets>
    <sheet name="Feed(WS)" sheetId="2" state="hidden" r:id="rId1"/>
    <sheet name="Closed End Seconds (FL)" sheetId="15" r:id="rId2"/>
    <sheet name="Prepay Matrix" sheetId="24" r:id="rId3"/>
    <sheet name="Cover Page" sheetId="4" state="hidden" r:id="rId4"/>
    <sheet name="Sheet1" sheetId="3" state="hidden" r:id="rId5"/>
  </sheets>
  <functionGroups builtInGroupCount="19"/>
  <definedNames>
    <definedName name="_xlnm._FilterDatabase" localSheetId="1" hidden="1">'Closed End Seconds (FL)'!$S$6:$AD$41</definedName>
    <definedName name="_xlnm._FilterDatabase" localSheetId="0" hidden="1">'Feed(WS)'!$Y$99:$AB$128</definedName>
    <definedName name="_xleta.CHOOSE" hidden="1" xlm="1">#NAME?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46" i="2" l="1"/>
  <c r="B146" i="2"/>
  <c r="B145" i="2"/>
  <c r="E142" i="2"/>
  <c r="B142" i="2"/>
  <c r="B141" i="2"/>
  <c r="E133" i="2" a="1"/>
  <c r="E136" i="2" s="1"/>
  <c r="B133" i="2"/>
  <c r="B132" i="2"/>
  <c r="E125" i="2"/>
  <c r="D125" i="2"/>
  <c r="C125" i="2"/>
  <c r="B125" i="2"/>
  <c r="E124" i="2"/>
  <c r="D124" i="2"/>
  <c r="C124" i="2"/>
  <c r="B124" i="2"/>
  <c r="E123" i="2"/>
  <c r="D123" i="2"/>
  <c r="C123" i="2"/>
  <c r="B123" i="2"/>
  <c r="E122" i="2"/>
  <c r="D122" i="2"/>
  <c r="C122" i="2"/>
  <c r="B122" i="2"/>
  <c r="E121" i="2"/>
  <c r="D121" i="2"/>
  <c r="C121" i="2"/>
  <c r="B121" i="2"/>
  <c r="E120" i="2"/>
  <c r="D120" i="2"/>
  <c r="C120" i="2"/>
  <c r="B120" i="2"/>
  <c r="E119" i="2"/>
  <c r="D119" i="2"/>
  <c r="C119" i="2"/>
  <c r="B119" i="2"/>
  <c r="E118" i="2"/>
  <c r="D118" i="2"/>
  <c r="C118" i="2"/>
  <c r="B118" i="2"/>
  <c r="E117" i="2"/>
  <c r="D117" i="2"/>
  <c r="C117" i="2"/>
  <c r="B117" i="2"/>
  <c r="E116" i="2"/>
  <c r="D116" i="2"/>
  <c r="C116" i="2"/>
  <c r="B116" i="2"/>
  <c r="E115" i="2"/>
  <c r="D115" i="2"/>
  <c r="C115" i="2"/>
  <c r="B115" i="2"/>
  <c r="E114" i="2"/>
  <c r="D114" i="2"/>
  <c r="C114" i="2"/>
  <c r="B114" i="2"/>
  <c r="E113" i="2"/>
  <c r="D113" i="2"/>
  <c r="C113" i="2"/>
  <c r="B113" i="2"/>
  <c r="E112" i="2"/>
  <c r="D112" i="2"/>
  <c r="C112" i="2"/>
  <c r="B112" i="2"/>
  <c r="E111" i="2"/>
  <c r="D111" i="2"/>
  <c r="C111" i="2"/>
  <c r="B111" i="2"/>
  <c r="E110" i="2"/>
  <c r="D110" i="2"/>
  <c r="C110" i="2"/>
  <c r="B110" i="2"/>
  <c r="E109" i="2"/>
  <c r="D109" i="2"/>
  <c r="C109" i="2"/>
  <c r="B109" i="2"/>
  <c r="E108" i="2"/>
  <c r="D108" i="2"/>
  <c r="C108" i="2"/>
  <c r="B108" i="2"/>
  <c r="E107" i="2"/>
  <c r="D107" i="2"/>
  <c r="C107" i="2"/>
  <c r="B107" i="2"/>
  <c r="E106" i="2"/>
  <c r="D106" i="2"/>
  <c r="C106" i="2"/>
  <c r="B106" i="2"/>
  <c r="E105" i="2"/>
  <c r="D105" i="2"/>
  <c r="C105" i="2"/>
  <c r="B105" i="2"/>
  <c r="E104" i="2"/>
  <c r="D104" i="2"/>
  <c r="C104" i="2"/>
  <c r="B104" i="2"/>
  <c r="E103" i="2"/>
  <c r="D103" i="2"/>
  <c r="C103" i="2"/>
  <c r="B103" i="2"/>
  <c r="E102" i="2"/>
  <c r="D102" i="2"/>
  <c r="C102" i="2"/>
  <c r="B102" i="2"/>
  <c r="E101" i="2"/>
  <c r="D101" i="2"/>
  <c r="C101" i="2"/>
  <c r="B101" i="2"/>
  <c r="E100" i="2"/>
  <c r="D100" i="2"/>
  <c r="C100" i="2"/>
  <c r="B100" i="2"/>
  <c r="E99" i="2"/>
  <c r="D99" i="2"/>
  <c r="C99" i="2"/>
  <c r="B99" i="2"/>
  <c r="E98" i="2"/>
  <c r="D98" i="2"/>
  <c r="C98" i="2"/>
  <c r="B98" i="2"/>
  <c r="E97" i="2"/>
  <c r="D97" i="2"/>
  <c r="C97" i="2"/>
  <c r="B97" i="2"/>
  <c r="E96" i="2"/>
  <c r="D96" i="2"/>
  <c r="C96" i="2"/>
  <c r="B96" i="2"/>
  <c r="E95" i="2"/>
  <c r="D95" i="2"/>
  <c r="C95" i="2"/>
  <c r="B95" i="2"/>
  <c r="E94" i="2"/>
  <c r="D94" i="2"/>
  <c r="C94" i="2"/>
  <c r="B94" i="2"/>
  <c r="E93" i="2"/>
  <c r="D93" i="2"/>
  <c r="C93" i="2"/>
  <c r="B93" i="2"/>
  <c r="E92" i="2"/>
  <c r="D92" i="2"/>
  <c r="C92" i="2"/>
  <c r="B92" i="2"/>
  <c r="E91" i="2"/>
  <c r="D91" i="2"/>
  <c r="C91" i="2"/>
  <c r="B91" i="2"/>
  <c r="E90" i="2"/>
  <c r="D90" i="2"/>
  <c r="C90" i="2"/>
  <c r="B90" i="2"/>
  <c r="G89" i="2"/>
  <c r="E89" i="2"/>
  <c r="D89" i="2"/>
  <c r="C89" i="2"/>
  <c r="B89" i="2"/>
  <c r="E88" i="2"/>
  <c r="D88" i="2"/>
  <c r="C88" i="2"/>
  <c r="B88" i="2"/>
  <c r="E87" i="2"/>
  <c r="D87" i="2"/>
  <c r="C87" i="2"/>
  <c r="B87" i="2"/>
  <c r="E86" i="2"/>
  <c r="D86" i="2"/>
  <c r="C86" i="2"/>
  <c r="B86" i="2"/>
  <c r="E85" i="2"/>
  <c r="D85" i="2"/>
  <c r="C85" i="2"/>
  <c r="B85" i="2"/>
  <c r="E84" i="2"/>
  <c r="D84" i="2"/>
  <c r="C84" i="2"/>
  <c r="B84" i="2"/>
  <c r="E83" i="2"/>
  <c r="D83" i="2"/>
  <c r="C83" i="2"/>
  <c r="B83" i="2"/>
  <c r="E82" i="2"/>
  <c r="D82" i="2"/>
  <c r="C82" i="2"/>
  <c r="B82" i="2"/>
  <c r="H73" i="2"/>
  <c r="H72" i="2"/>
  <c r="H71" i="2"/>
  <c r="A71" i="2" a="1"/>
  <c r="H70" i="2"/>
  <c r="F70" i="2"/>
  <c r="H69" i="2"/>
  <c r="F69" i="2"/>
  <c r="H68" i="2"/>
  <c r="F68" i="2"/>
  <c r="H67" i="2"/>
  <c r="F67" i="2"/>
  <c r="H66" i="2"/>
  <c r="F66" i="2"/>
  <c r="H65" i="2"/>
  <c r="F65" i="2"/>
  <c r="H64" i="2"/>
  <c r="F64" i="2"/>
  <c r="H63" i="2"/>
  <c r="F63" i="2"/>
  <c r="B63" i="2" a="1"/>
  <c r="H62" i="2" a="1"/>
  <c r="F62" i="2"/>
  <c r="H61" i="2" a="1"/>
  <c r="F61" i="2"/>
  <c r="H60" i="2" a="1"/>
  <c r="F60" i="2"/>
  <c r="H59" i="2" a="1"/>
  <c r="F59" i="2"/>
  <c r="H58" i="2" a="1"/>
  <c r="F58" i="2"/>
  <c r="H57" i="2" a="1"/>
  <c r="F57" i="2" a="1"/>
  <c r="H56" i="2" a="1"/>
  <c r="F56" i="2" a="1"/>
  <c r="H55" i="2" a="1"/>
  <c r="F55" i="2" a="1"/>
  <c r="H54" i="2" a="1"/>
  <c r="F54" i="2" a="1"/>
  <c r="J53" i="2"/>
  <c r="H53" i="2" a="1"/>
  <c r="F53" i="2" a="1"/>
  <c r="J52" i="2"/>
  <c r="H52" i="2" a="1"/>
  <c r="F52" i="2" a="1"/>
  <c r="J51" i="2"/>
  <c r="F51" i="2"/>
  <c r="J50" i="2" a="1"/>
  <c r="H50" i="2" a="1"/>
  <c r="F50" i="2" a="1"/>
  <c r="H49" i="2" a="1"/>
  <c r="F49" i="2" a="1"/>
  <c r="H48" i="2" a="1"/>
  <c r="H47" i="2" a="1"/>
  <c r="F47" i="2"/>
  <c r="B47" i="2"/>
  <c r="L46" i="2" a="1"/>
  <c r="H46" i="2" a="1"/>
  <c r="B46" i="2"/>
  <c r="L45" i="2" a="1"/>
  <c r="J45" i="2" a="1"/>
  <c r="B45" i="2"/>
  <c r="L44" i="2" a="1"/>
  <c r="F44" i="2" a="1"/>
  <c r="B44" i="2"/>
  <c r="L43" i="2" a="1"/>
  <c r="J43" i="2" a="1"/>
  <c r="H43" i="2"/>
  <c r="F43" i="2"/>
  <c r="B43" i="2"/>
  <c r="L42" i="2" a="1"/>
  <c r="J42" i="2" a="1"/>
  <c r="H42" i="2" a="1"/>
  <c r="F42" i="2"/>
  <c r="B42" i="2" a="1"/>
  <c r="L41" i="2" a="1"/>
  <c r="J41" i="2" a="1"/>
  <c r="H41" i="2"/>
  <c r="F41" i="2" a="1"/>
  <c r="B41" i="2"/>
  <c r="L40" i="2" a="1"/>
  <c r="J40" i="2" a="1"/>
  <c r="H40" i="2"/>
  <c r="F40" i="2"/>
  <c r="L39" i="2" a="1"/>
  <c r="J39" i="2" a="1"/>
  <c r="F39" i="2"/>
  <c r="B39" i="2" a="1"/>
  <c r="V20" i="15"/>
  <c r="V25" i="15"/>
  <c r="V28" i="15"/>
  <c r="I121" i="2"/>
  <c r="I120" i="2"/>
  <c r="I119" i="2"/>
  <c r="I118" i="2"/>
  <c r="I117" i="2"/>
  <c r="I116" i="2"/>
  <c r="I115" i="2"/>
  <c r="I114" i="2"/>
  <c r="I113" i="2"/>
  <c r="I112" i="2"/>
  <c r="I111" i="2"/>
  <c r="I110" i="2"/>
  <c r="I108" i="2"/>
  <c r="I107" i="2"/>
  <c r="I106" i="2"/>
  <c r="I105" i="2"/>
  <c r="I104" i="2"/>
  <c r="I103" i="2"/>
  <c r="I102" i="2"/>
  <c r="I101" i="2"/>
  <c r="I100" i="2"/>
  <c r="I99" i="2"/>
  <c r="I98" i="2"/>
  <c r="I97" i="2"/>
  <c r="I96" i="2"/>
  <c r="I95" i="2"/>
  <c r="I94" i="2"/>
  <c r="I93" i="2"/>
  <c r="I92" i="2"/>
  <c r="I91" i="2"/>
  <c r="I90" i="2"/>
  <c r="I89" i="2"/>
  <c r="I88" i="2"/>
  <c r="I87" i="2"/>
  <c r="I86" i="2"/>
  <c r="I85" i="2"/>
  <c r="I84" i="2"/>
  <c r="I83" i="2"/>
  <c r="I82" i="2"/>
  <c r="V21" i="15"/>
  <c r="V18" i="15"/>
  <c r="V13" i="15"/>
  <c r="V11" i="15"/>
  <c r="V19" i="15"/>
  <c r="V17" i="15"/>
  <c r="V16" i="15"/>
  <c r="V15" i="15" a="1"/>
  <c r="V14" i="15"/>
  <c r="V12" i="15"/>
  <c r="V26" i="15"/>
  <c r="V35" i="15"/>
  <c r="U36" i="15"/>
  <c r="V34" i="15"/>
  <c r="W33" i="15" a="1"/>
  <c r="I127" i="2"/>
  <c r="E147" i="2"/>
  <c r="E143" i="2"/>
  <c r="B48" i="2" s="1"/>
  <c r="I124" i="2"/>
  <c r="I125" i="2"/>
  <c r="I126" i="2"/>
  <c r="I122" i="2"/>
  <c r="I123" i="2"/>
  <c r="I109" i="2" l="1"/>
  <c r="N82" i="2" s="1" a="1"/>
  <c r="U26" i="15"/>
  <c r="S26" i="15"/>
  <c r="B64" i="2"/>
  <c r="G82" i="2" s="1"/>
  <c r="V30" i="15"/>
  <c r="W13" i="15" l="1"/>
  <c r="V27" i="15" s="1"/>
  <c r="K100" i="2"/>
  <c r="K103" i="2"/>
  <c r="K106" i="2"/>
  <c r="K109" i="2"/>
  <c r="K112" i="2"/>
  <c r="K116" i="2"/>
  <c r="K120" i="2"/>
  <c r="L95" i="2"/>
  <c r="L98" i="2"/>
  <c r="L101" i="2"/>
  <c r="L104" i="2"/>
  <c r="L107" i="2"/>
  <c r="L110" i="2"/>
  <c r="L114" i="2"/>
  <c r="L117" i="2"/>
  <c r="L118" i="2"/>
  <c r="L121" i="2"/>
  <c r="K98" i="2"/>
  <c r="K101" i="2"/>
  <c r="K104" i="2"/>
  <c r="K107" i="2"/>
  <c r="K110" i="2"/>
  <c r="K113" i="2"/>
  <c r="K115" i="2"/>
  <c r="K118" i="2"/>
  <c r="K121" i="2"/>
  <c r="L93" i="2"/>
  <c r="L96" i="2"/>
  <c r="L99" i="2"/>
  <c r="L103" i="2"/>
  <c r="L106" i="2"/>
  <c r="L108" i="2"/>
  <c r="L111" i="2"/>
  <c r="L112" i="2"/>
  <c r="L115" i="2"/>
  <c r="L119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9" i="2"/>
  <c r="K102" i="2"/>
  <c r="K105" i="2"/>
  <c r="K108" i="2"/>
  <c r="K111" i="2"/>
  <c r="K114" i="2"/>
  <c r="K117" i="2"/>
  <c r="K119" i="2"/>
  <c r="L92" i="2"/>
  <c r="L94" i="2"/>
  <c r="L97" i="2"/>
  <c r="L100" i="2"/>
  <c r="L102" i="2"/>
  <c r="L105" i="2"/>
  <c r="L109" i="2"/>
  <c r="L113" i="2"/>
  <c r="L116" i="2"/>
  <c r="L120" i="2"/>
  <c r="L123" i="2"/>
  <c r="L122" i="2"/>
  <c r="L87" i="2"/>
  <c r="J127" i="2"/>
  <c r="K127" i="2"/>
  <c r="L85" i="2"/>
  <c r="L86" i="2"/>
  <c r="L90" i="2"/>
  <c r="L84" i="2"/>
  <c r="L88" i="2"/>
  <c r="L83" i="2"/>
  <c r="L125" i="2"/>
  <c r="L127" i="2"/>
  <c r="K125" i="2"/>
  <c r="K122" i="2"/>
  <c r="L82" i="2"/>
  <c r="K123" i="2"/>
  <c r="K126" i="2"/>
  <c r="J125" i="2"/>
  <c r="J123" i="2"/>
  <c r="L124" i="2"/>
  <c r="L126" i="2"/>
  <c r="J126" i="2"/>
  <c r="K124" i="2"/>
  <c r="J124" i="2"/>
  <c r="L89" i="2"/>
  <c r="L91" i="2"/>
  <c r="J122" i="2"/>
  <c r="J129" i="2" l="1" a="1"/>
  <c r="L129" i="2" a="1"/>
  <c r="K129" i="2" a="1"/>
  <c r="J132" i="2" l="1"/>
  <c r="J133" i="2" s="1"/>
  <c r="J130" i="2"/>
  <c r="J131" i="2" s="1"/>
  <c r="L130" i="2"/>
  <c r="L131" i="2" s="1"/>
  <c r="L132" i="2"/>
  <c r="L133" i="2" s="1"/>
  <c r="K132" i="2"/>
  <c r="K133" i="2" s="1"/>
  <c r="K130" i="2"/>
  <c r="K131" i="2" s="1"/>
  <c r="N135" i="2" l="1"/>
  <c r="L137" i="2" s="1"/>
  <c r="N133" i="2"/>
  <c r="K137" i="2" l="1"/>
  <c r="V29" i="15" l="1"/>
  <c r="V31" i="15" s="1"/>
  <c r="U37" i="15" l="1"/>
  <c r="G85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<sst xmlns="http://schemas.openxmlformats.org/spreadsheetml/2006/main" count="576" uniqueCount="366">
  <si>
    <t>Base Rate / Base Price</t>
  </si>
  <si>
    <t>LTV Range</t>
  </si>
  <si>
    <t>FICO Range</t>
  </si>
  <si>
    <t>Doc Type</t>
  </si>
  <si>
    <t>Alt Doc</t>
  </si>
  <si>
    <t>Citizenships</t>
  </si>
  <si>
    <t>US Citizen</t>
  </si>
  <si>
    <t>DTI</t>
  </si>
  <si>
    <t>Loan Balance</t>
  </si>
  <si>
    <t>Occupancy</t>
  </si>
  <si>
    <t>Property Type</t>
  </si>
  <si>
    <t>Loan Term</t>
  </si>
  <si>
    <t>State</t>
  </si>
  <si>
    <t>All Other States</t>
  </si>
  <si>
    <t>Lock Term</t>
  </si>
  <si>
    <t>30 Day</t>
  </si>
  <si>
    <t xml:space="preserve">  Total LLPA</t>
  </si>
  <si>
    <t xml:space="preserve">  Gross Rate Sheet Price (Prior to LLPAs)</t>
  </si>
  <si>
    <t xml:space="preserve">  Max YSP</t>
  </si>
  <si>
    <t xml:space="preserve">  Net Price: Rate Sheet - LLPA (Prior to Min/Max YSP)</t>
  </si>
  <si>
    <t>Final Price  →</t>
  </si>
  <si>
    <t>FICO</t>
  </si>
  <si>
    <t>LTV</t>
  </si>
  <si>
    <t>Loan Amount</t>
  </si>
  <si>
    <t>Prepayment Penalties</t>
  </si>
  <si>
    <t>Term</t>
  </si>
  <si>
    <t>Lock Period</t>
  </si>
  <si>
    <t>Choose a Selection</t>
  </si>
  <si>
    <t>Full Doc</t>
  </si>
  <si>
    <t>Primary</t>
  </si>
  <si>
    <t>15 Day</t>
  </si>
  <si>
    <t xml:space="preserve"> </t>
  </si>
  <si>
    <t>Second Home</t>
  </si>
  <si>
    <t>Permanent Resident</t>
  </si>
  <si>
    <t>45 Day</t>
  </si>
  <si>
    <t>Non Perm Resident</t>
  </si>
  <si>
    <t>30YR Fixed</t>
  </si>
  <si>
    <t>Rules</t>
  </si>
  <si>
    <t>Coupon</t>
  </si>
  <si>
    <t>Total LLPA</t>
  </si>
  <si>
    <t>Total Price</t>
  </si>
  <si>
    <t>Par Rates</t>
  </si>
  <si>
    <t>19000 MacArthur Boulevard, 2nd Floor</t>
  </si>
  <si>
    <t>Irvine, CA 92612</t>
  </si>
  <si>
    <t>LoanStream Mortgage Wholesale NANQ Rate Sheet</t>
  </si>
  <si>
    <t>Underwriting Fee</t>
  </si>
  <si>
    <t>Relock Fee</t>
  </si>
  <si>
    <t>Mortgagee Clause</t>
  </si>
  <si>
    <t>Contact list</t>
  </si>
  <si>
    <t>NANQ</t>
  </si>
  <si>
    <t>OCMBC, INC. ISAOA 
19000 MacArthur Blvd, Ste. 200 Irvine, CA 92612</t>
  </si>
  <si>
    <t>Corporate 
Headquarters:</t>
  </si>
  <si>
    <t>Phone:</t>
  </si>
  <si>
    <t>800-760-1833</t>
  </si>
  <si>
    <t>DOC Fee - All Loans</t>
  </si>
  <si>
    <t>Extension Fee</t>
  </si>
  <si>
    <t>Email:</t>
  </si>
  <si>
    <t>Inquires@LSMortgage.com</t>
  </si>
  <si>
    <t>0.02/Day</t>
  </si>
  <si>
    <t>NAN-Q
 Prequals</t>
  </si>
  <si>
    <t>Email Only</t>
  </si>
  <si>
    <t>EZQual@LSMortgage.com</t>
  </si>
  <si>
    <t>Current Turn Times</t>
  </si>
  <si>
    <t>U/W Loan 
Scenarios NAN-Q</t>
  </si>
  <si>
    <t>Stage</t>
  </si>
  <si>
    <t>Turn Times</t>
  </si>
  <si>
    <t>Department Hours</t>
  </si>
  <si>
    <t>Cutoff Time</t>
  </si>
  <si>
    <t>NANQScenario@LSMortgage.com</t>
  </si>
  <si>
    <t>PreQual</t>
  </si>
  <si>
    <t>24-48 Hours</t>
  </si>
  <si>
    <t>PreQual Desk Hours: 8:00 AM-5:00 PM PST</t>
  </si>
  <si>
    <t>3:00 PM PST</t>
  </si>
  <si>
    <t>Submission Desk</t>
  </si>
  <si>
    <t>Set-up</t>
  </si>
  <si>
    <t>Setup Desk Hours: 8:00 AM-6:00 PM PST</t>
  </si>
  <si>
    <t>Submissions_LS@LSMortgage.com</t>
  </si>
  <si>
    <t>New Underwrite</t>
  </si>
  <si>
    <t>Underwriting Hours: 7:00 AM-6:00 PM PST</t>
  </si>
  <si>
    <t>Lock Desk:</t>
  </si>
  <si>
    <t>949-679-7059</t>
  </si>
  <si>
    <t>Conditions Review</t>
  </si>
  <si>
    <t>LockDesk@LSMortgage.com</t>
  </si>
  <si>
    <t>Part "A" QC</t>
  </si>
  <si>
    <t>48-72 Hours</t>
  </si>
  <si>
    <t>3:30 PM PST</t>
  </si>
  <si>
    <t>CD Desk:</t>
  </si>
  <si>
    <t>Lock Desk</t>
  </si>
  <si>
    <t>SameDay</t>
  </si>
  <si>
    <t>Lock Desk Hours are: 8:30 AM - 5:00 PM PST</t>
  </si>
  <si>
    <t>5:00 PM PST</t>
  </si>
  <si>
    <t>CD@LSMortgage.com</t>
  </si>
  <si>
    <t>CTC Review</t>
  </si>
  <si>
    <t>1:00 PM PST</t>
  </si>
  <si>
    <t>Funding Department:</t>
  </si>
  <si>
    <t>CD</t>
  </si>
  <si>
    <t>CD Desk Hours: 7:30 AM-6:00 PM PST</t>
  </si>
  <si>
    <t>12:00 PM PST</t>
  </si>
  <si>
    <t>Funding@LSMortgage.com</t>
  </si>
  <si>
    <t>DOCS</t>
  </si>
  <si>
    <t>DOCS Desk Hours: 7:30 AM-6:00 PM PST</t>
  </si>
  <si>
    <t>Management 
Escalations</t>
  </si>
  <si>
    <t>Name:</t>
  </si>
  <si>
    <t>David Racer / Operations</t>
  </si>
  <si>
    <t>Funding</t>
  </si>
  <si>
    <t>Funding Desk Hours: 5:30 AM-5:00 PM PST</t>
  </si>
  <si>
    <t>12:30 PM PST</t>
  </si>
  <si>
    <t>DRacer@LSMortgage.com</t>
  </si>
  <si>
    <t>Natalie Hernandez / Closing</t>
  </si>
  <si>
    <t>NHernandez@LSMortgage.com</t>
  </si>
  <si>
    <t>Nikki Allen / Underwriting</t>
  </si>
  <si>
    <t>NAllen@LSMortgage.com</t>
  </si>
  <si>
    <t>Adam Elway / Capital Markets</t>
  </si>
  <si>
    <t>AElway@LSMortgage.com</t>
  </si>
  <si>
    <t>Moe Aziz / Secondary</t>
  </si>
  <si>
    <t>MAziz@LSMortgage.com</t>
  </si>
  <si>
    <t xml:space="preserve">RATES AND LLPAs ARE SUBJECT TO CHANGE WITHOUT NOTICE.  </t>
  </si>
  <si>
    <t>THIS INFORMATION IS INTENDED FOR PROFESSIONAL OR BUSINESS USE ONLY.  NOT FOR CONSUMER DISTRIBUTION.</t>
  </si>
  <si>
    <t>.</t>
  </si>
  <si>
    <t xml:space="preserve"> Interest Rate →</t>
  </si>
  <si>
    <t>Total</t>
  </si>
  <si>
    <t>Disqualifiers</t>
  </si>
  <si>
    <t>Calculator does not verify eligibility.
Please use in conjunction with product matrix.</t>
  </si>
  <si>
    <t>Near Par Rate (Borrower Paid)</t>
  </si>
  <si>
    <t>North Carolina</t>
  </si>
  <si>
    <t>Closed End Seconds</t>
  </si>
  <si>
    <t>≥ 800</t>
  </si>
  <si>
    <t>780 - 799</t>
  </si>
  <si>
    <t>760 - 779</t>
  </si>
  <si>
    <t>740 - 759</t>
  </si>
  <si>
    <t>720 - 739</t>
  </si>
  <si>
    <t>700 - 719</t>
  </si>
  <si>
    <t>680 - 699</t>
  </si>
  <si>
    <t>660 - 679</t>
  </si>
  <si>
    <t>HCLTV 50.01-55</t>
  </si>
  <si>
    <t>HCLTV 55.01-60</t>
  </si>
  <si>
    <t>HCLTV 60.01-65</t>
  </si>
  <si>
    <t>HCLTV 65.01-70</t>
  </si>
  <si>
    <t>HCLTV 70.01-75</t>
  </si>
  <si>
    <t>HCLTV 75.01-80</t>
  </si>
  <si>
    <t>HCLTV 80.01-85</t>
  </si>
  <si>
    <t>HCLTV 85.01-90</t>
  </si>
  <si>
    <t>DTI 00.01-43</t>
  </si>
  <si>
    <t>DTI 43.01-45</t>
  </si>
  <si>
    <t>$100,001-$125,000</t>
  </si>
  <si>
    <t>$125,001-$150,000</t>
  </si>
  <si>
    <t>1 Unit</t>
  </si>
  <si>
    <t>Loan Program</t>
  </si>
  <si>
    <t>Standalone Second</t>
  </si>
  <si>
    <t>Concurrent Second</t>
  </si>
  <si>
    <t>20YR Fixed</t>
  </si>
  <si>
    <t>10YR Fixed</t>
  </si>
  <si>
    <t>No PPP</t>
  </si>
  <si>
    <t>$150,001-$350,000</t>
  </si>
  <si>
    <t>$350,001-$500,000</t>
  </si>
  <si>
    <t>2-4 Units/Condo NAs LTVs&gt;75%</t>
  </si>
  <si>
    <t>Alt Doc Disqualifiers</t>
  </si>
  <si>
    <t>Full Doc Disqualifiers</t>
  </si>
  <si>
    <t>NAs on 2nd Home/2-4 Units</t>
  </si>
  <si>
    <t>19000 MacArthur Blvd, Suite 300</t>
  </si>
  <si>
    <t>Credit Event</t>
  </si>
  <si>
    <t>Housing History</t>
  </si>
  <si>
    <t>0x30x12</t>
  </si>
  <si>
    <t>Other</t>
  </si>
  <si>
    <t>NAs Credit Event &lt; 48 Months</t>
  </si>
  <si>
    <t>Nas on other for Housing History</t>
  </si>
  <si>
    <t>California</t>
  </si>
  <si>
    <t>NA for Max Rate</t>
  </si>
  <si>
    <t>Allowable Fees</t>
  </si>
  <si>
    <t>Click Here</t>
  </si>
  <si>
    <t>Select Full Doc</t>
  </si>
  <si>
    <t>Select Full Doc Disqualifiers</t>
  </si>
  <si>
    <t>NAs 2-4 Units</t>
  </si>
  <si>
    <t>NAs Concurrent</t>
  </si>
  <si>
    <t>NAs NOO and Second Home</t>
  </si>
  <si>
    <t>Nas on &lt;680 FICO</t>
  </si>
  <si>
    <t>Credit Event &lt; 48 Months</t>
  </si>
  <si>
    <t>Credit Event ≥ 48 and &lt; 84 Months</t>
  </si>
  <si>
    <t>Credit Event ≥ 84 Months</t>
  </si>
  <si>
    <t>Nas Select Credit Event ≥ 48 and &lt; 84 Months</t>
  </si>
  <si>
    <t>0x30x24</t>
  </si>
  <si>
    <t>Nas Select on 0x30x12</t>
  </si>
  <si>
    <t>Tennessee</t>
  </si>
  <si>
    <t>Nas on TN state</t>
  </si>
  <si>
    <t>DTI 45.01-50</t>
  </si>
  <si>
    <t>$75,000-$100,000</t>
  </si>
  <si>
    <t>DSCR</t>
  </si>
  <si>
    <t>$500,001-$750,000</t>
  </si>
  <si>
    <t>Additional Adjustments</t>
  </si>
  <si>
    <t>Asset Utilization</t>
  </si>
  <si>
    <t>1099 Only</t>
  </si>
  <si>
    <t>WVOE Only</t>
  </si>
  <si>
    <t>DSCR - STR</t>
  </si>
  <si>
    <t>ITIN</t>
  </si>
  <si>
    <t>None in this Dropdown</t>
  </si>
  <si>
    <t>No DTI Program</t>
  </si>
  <si>
    <t>NAs on Primary/350k-500k/LTVs&gt;70%/FICOs&lt;680</t>
  </si>
  <si>
    <t>NAs on NOO/350k-500k/LTVs&gt;75%</t>
  </si>
  <si>
    <t>NAs on NOO/350k-500k/LTVs&gt;70%/FICOs&lt;720</t>
  </si>
  <si>
    <t>NAs on 2nd Home/350k-500k/LTVs&gt;70%</t>
  </si>
  <si>
    <t>NAs on 2nd Home/350k-500k/LTVs&gt;65%/FICOs&lt;700</t>
  </si>
  <si>
    <t>NAs on 2nd Home/350k-500k/LTVs&gt;60%/FICOs&lt;680</t>
  </si>
  <si>
    <t>NAs on Primary/350k-500k/LTVs&gt;75%</t>
  </si>
  <si>
    <t>NAs on Primary/350k-500k/LTVs&gt;70%/FICOs&lt;740</t>
  </si>
  <si>
    <t>NAs on Primary/350k-500k/LTVs&gt;65%/FICOs&lt;700</t>
  </si>
  <si>
    <t>NAs on NOO/350k-500k/LTVs&gt;65%</t>
  </si>
  <si>
    <t>NAs on NOO/350k-500k/LTVs&gt;60%/FICOs&lt;720</t>
  </si>
  <si>
    <t>NAs on NOO/350k-500k/LTVs&gt;55%/FICOs&lt;700</t>
  </si>
  <si>
    <t>NAs on NOO/350k-500k/LTVs&gt;50%/FICOs&lt;680</t>
  </si>
  <si>
    <t>NAs on 2nd Home/350k-500k/LTVs&gt;65%</t>
  </si>
  <si>
    <t>NAs on 2nd Home/350k-500k/LTVs&gt;60%/FICOs&lt;720</t>
  </si>
  <si>
    <t>NAs on 2nd Home/350k-500k/LTVs&gt;55%/FICOs&lt;700</t>
  </si>
  <si>
    <t>NAs on 2nd Home/350k-500k/LTVs&gt;50%/FICOs&lt;680</t>
  </si>
  <si>
    <t>NAs on Primary/350k-500k/FICOs&lt;720</t>
  </si>
  <si>
    <t>NAs on Primary/&gt;500k/FICOs&lt;720</t>
  </si>
  <si>
    <t>2-4 Units/ NAs LTVs&gt;65%</t>
  </si>
  <si>
    <t>NAs on DTI &gt;45% on LTVs&gt;80%</t>
  </si>
  <si>
    <t>DSCR Disqualifiers</t>
  </si>
  <si>
    <t>NAs on Primary/75k-350k/LTVs&gt;80%/FICOs&lt;700</t>
  </si>
  <si>
    <t>NAs on NOO/75k-350k/LTVs&gt;80%</t>
  </si>
  <si>
    <t>NAs on NOO/75k-350k/LTVs&gt;75%/FICOs&lt;700</t>
  </si>
  <si>
    <t>NAs on 2nd Home/75k-350k/LTVs&gt;80%</t>
  </si>
  <si>
    <t>NAs on 2nd Home/75k-350k/LTVs&gt;75%/FICOs&lt;700</t>
  </si>
  <si>
    <t>NAs on 2nd Home/75k-350k/LTVs&gt;60%/FICOs&lt;680</t>
  </si>
  <si>
    <t>NAs on Primary/75k-350k/LTVs&gt;85%</t>
  </si>
  <si>
    <t>NAs on Primary/75k-350k/LTVs&gt;80%/FICOs&lt;720</t>
  </si>
  <si>
    <t>NAs on Primary/75k-350k/LTVs&gt;75%/FICOs&lt;700</t>
  </si>
  <si>
    <t>NAs on Primary/75k-350k/LTVs&gt;80%/All FICOs</t>
  </si>
  <si>
    <t>NAs on NOO/75k-350k/LTVs&gt;75%</t>
  </si>
  <si>
    <t>NAs on NOO/75k-350k/LTVs&gt;70%/FICOs&lt;720</t>
  </si>
  <si>
    <t>NAs on NOO/75k-350k/LTVs&gt;65%/FICOs&lt;700</t>
  </si>
  <si>
    <t>NAs on Primary/75k-350k/LTVs&gt;70%/FICOs&lt;680</t>
  </si>
  <si>
    <t>NAs on NOO/75k-350k/LTVs&gt;60%/FICOs&lt;680</t>
  </si>
  <si>
    <t>NAs on 2nd Home/75k-350k/LTVs&gt;75%</t>
  </si>
  <si>
    <t>NAs on 2nd Home/75k-350k/LTVs&gt;70%/FICOs&lt;720</t>
  </si>
  <si>
    <t>NAs on 2nd Home/75k-350k/LTVs&gt;65%/FICOs&lt;700</t>
  </si>
  <si>
    <t>P&amp;L w/Bk Stmt</t>
  </si>
  <si>
    <t xml:space="preserve">  MANUAL LPC CALCULATOR</t>
  </si>
  <si>
    <t>Loan amount</t>
  </si>
  <si>
    <t>LPC %</t>
  </si>
  <si>
    <t>LPC Flat Fee</t>
  </si>
  <si>
    <t xml:space="preserve">Total LPC LLPA </t>
  </si>
  <si>
    <t>Final Price AFTER LPC  →</t>
  </si>
  <si>
    <t>NAs on Primary/75k-500k/LTVs&gt;85%/FICOs&lt;680</t>
  </si>
  <si>
    <t>Nas Primary &gt;70% 660 FICO 750K</t>
  </si>
  <si>
    <t>Nas Primary &gt;75% 680 FICO 750K</t>
  </si>
  <si>
    <t>Nas Primary &gt;80% 700+ FICO 750K</t>
  </si>
  <si>
    <t>NAs on Primary/350k-500k/LTVs&gt;60%/FICOs660-679</t>
  </si>
  <si>
    <t>NAs on Primary/350k-500k/LTVs&gt;75% | FICO &lt;700</t>
  </si>
  <si>
    <t>NAs on Primary/350k-500k/LTVs&gt;80% | FICO &lt;700</t>
  </si>
  <si>
    <t>NAs on Primary/501k-750k/LTVs&gt;70%/FICOs &lt;700</t>
  </si>
  <si>
    <t>NAs on Primary/501k-750k/LTVs&gt;75% | FICO &lt;700</t>
  </si>
  <si>
    <t>NAs on Primary/75-350k/LTVs&gt;85% | FICO &gt;720</t>
  </si>
  <si>
    <t>NAs on Primary/501k-750k/LTVs&gt;80% | FICO &gt;720</t>
  </si>
  <si>
    <t>NAs on Primary/501k-750k/LTVs&gt;65% | FICO 660-679</t>
  </si>
  <si>
    <t>NAs on NOO/75k-350k/LTVs&gt;75%/FICOs&lt;680</t>
  </si>
  <si>
    <t>NAs on NOO/350k-500k/LTVs&gt;70%/FICOs&lt;680</t>
  </si>
  <si>
    <t>NAs on NOO/501k-750k/LTVs&gt;65%/FICOs&lt;660-679</t>
  </si>
  <si>
    <t>NAs on NOO/350k-500k/LTVs&gt;85%/FICOs&lt;700</t>
  </si>
  <si>
    <t>NAs on NOO/75-350k/LTVs&gt;75%/FICOs 660-679</t>
  </si>
  <si>
    <t>NAs on NOO/3501-500k/LTVs&gt;65%/FICOs 660-679</t>
  </si>
  <si>
    <t>NAs on NOO/501-750k/LTVs&gt;60%/FICOs 660-679</t>
  </si>
  <si>
    <t>NAs on NOO/501-750k/LTVs&gt;65%/FICOs 680-699</t>
  </si>
  <si>
    <t>NAs on NOO/350-500k/LTVs&gt;70%/FICOs 680-699</t>
  </si>
  <si>
    <t>NAs on NOO/75-350k/LTVs&gt;80%/FICOs 680-699</t>
  </si>
  <si>
    <t>NAs on NOO/75-350k/LTVs&gt;85%/FICOs 700+</t>
  </si>
  <si>
    <t>NAs on NOO/350-500k/LTVs&gt;75%/FICOs 700-719</t>
  </si>
  <si>
    <t>NAs on NOO/501-750k/LTVs&gt;70%/FICOs 700-719</t>
  </si>
  <si>
    <t>NAs on NOO/350-500k/LTVs&gt;80%/FICOs 720+</t>
  </si>
  <si>
    <t>NAs on NOO/500-750k/LTVs&gt;75%/FICOs 720+</t>
  </si>
  <si>
    <t>NAs on NOO/501k-750k/LTVs&gt;65% | FICO 660-679</t>
  </si>
  <si>
    <t>NAs on NOO/350-500k/LTVs&gt;70% | FICO 700-719</t>
  </si>
  <si>
    <t>NAs on NOO/501-750k/LTVs&gt;65% | FICO 700-719</t>
  </si>
  <si>
    <t>NAs on NOO/350-500k/LTVs&gt;80% | FICO 720+</t>
  </si>
  <si>
    <t>NAs on NOO/501-750k/LTVs&gt;70% | FICO 720+</t>
  </si>
  <si>
    <t>Base Price</t>
  </si>
  <si>
    <t>30 Day Lock</t>
  </si>
  <si>
    <t>Income Doc Type</t>
  </si>
  <si>
    <t>Debt to Income Ratio</t>
  </si>
  <si>
    <t>Citizenship/Tax Status</t>
  </si>
  <si>
    <t>Property Type/Units</t>
  </si>
  <si>
    <t>Extensions</t>
  </si>
  <si>
    <t>Extension Cost
2 bps / day
Current lock extension costs/policies apply to all active locks, regardless of lock date.
All 45 day locks are at a 50bp cost and are not eligible for lock extensions</t>
  </si>
  <si>
    <t>Underwriting Fees</t>
  </si>
  <si>
    <t>No Underwriting Fee Buyout Allowed</t>
  </si>
  <si>
    <t>Price Calculator</t>
  </si>
  <si>
    <t>Loan Level Adjustments</t>
  </si>
  <si>
    <t>Lock Days</t>
  </si>
  <si>
    <t>LLPA</t>
  </si>
  <si>
    <t>Foreign National with Fico</t>
  </si>
  <si>
    <t>HCLTV 00.01-50</t>
  </si>
  <si>
    <t>NAs on Primary/75k-350k/LTVs&gt;80%/FICOs&lt;680</t>
  </si>
  <si>
    <t>Monthly Special</t>
  </si>
  <si>
    <t>2 Units</t>
  </si>
  <si>
    <t>3-4 Units</t>
  </si>
  <si>
    <t>Warrantable Condo</t>
  </si>
  <si>
    <t>Investment Property (Non-DSCR)</t>
  </si>
  <si>
    <t>Investment Property (DSCR)</t>
  </si>
  <si>
    <t>*YSP allowed up to 102.000, may be paid to borrower on all Loans, or to 
Broker on Business Purpose Loans only
*YSP &amp; Lender Credit are not Applicable to DSCR 5-8 Unit</t>
  </si>
  <si>
    <r>
      <rPr>
        <b/>
        <sz val="10"/>
        <rFont val="Calibri"/>
        <family val="2"/>
      </rPr>
      <t xml:space="preserve">PPP REQUIREMENTS
</t>
    </r>
    <r>
      <rPr>
        <sz val="11"/>
        <rFont val="Symbol"/>
        <family val="1"/>
      </rPr>
      <t></t>
    </r>
    <r>
      <rPr>
        <sz val="11"/>
        <rFont val="Times New Roman"/>
        <family val="1"/>
      </rPr>
      <t xml:space="preserve">     </t>
    </r>
    <r>
      <rPr>
        <sz val="11"/>
        <rFont val="Calibri"/>
        <family val="2"/>
      </rPr>
      <t xml:space="preserve">PPP Required on NOO with &gt; 80% LTV
</t>
    </r>
    <r>
      <rPr>
        <b/>
        <sz val="10"/>
        <rFont val="Calibri"/>
        <family val="2"/>
      </rPr>
      <t xml:space="preserve">PPP OPTIONS
</t>
    </r>
    <r>
      <rPr>
        <sz val="11"/>
        <rFont val="Symbol"/>
        <family val="1"/>
      </rPr>
      <t></t>
    </r>
    <r>
      <rPr>
        <sz val="11"/>
        <rFont val="Times New Roman"/>
        <family val="1"/>
      </rPr>
      <t xml:space="preserve">     </t>
    </r>
    <r>
      <rPr>
        <sz val="11"/>
        <rFont val="Calibri"/>
        <family val="2"/>
      </rPr>
      <t>6 Months Interest on 80% of the Original Principal Balance</t>
    </r>
  </si>
  <si>
    <r>
      <rPr>
        <b/>
        <sz val="12"/>
        <rFont val="Calibri"/>
        <family val="2"/>
      </rPr>
      <t xml:space="preserve">PREPAYMENT PENALTY (PPP) MATRIX
</t>
    </r>
    <r>
      <rPr>
        <b/>
        <sz val="10.5"/>
        <color rgb="FFC00000"/>
        <rFont val="Calibri"/>
        <family val="2"/>
      </rPr>
      <t>For 2nd Lien CES Business Purpose Loans Only</t>
    </r>
  </si>
  <si>
    <r>
      <rPr>
        <b/>
        <sz val="11"/>
        <color rgb="FFFFFFFF"/>
        <rFont val="Calibri"/>
        <family val="2"/>
      </rPr>
      <t>STANDARD PREPAYMENT PENALTIES ALLOWED</t>
    </r>
  </si>
  <si>
    <r>
      <rPr>
        <sz val="11"/>
        <rFont val="Calibri"/>
        <family val="2"/>
      </rPr>
      <t>Alabama (AL)</t>
    </r>
  </si>
  <si>
    <r>
      <rPr>
        <sz val="11"/>
        <rFont val="Calibri"/>
        <family val="2"/>
      </rPr>
      <t>Florida (FL)</t>
    </r>
  </si>
  <si>
    <r>
      <rPr>
        <sz val="11"/>
        <rFont val="Calibri"/>
        <family val="2"/>
      </rPr>
      <t>Massachusetts (MA)</t>
    </r>
  </si>
  <si>
    <r>
      <rPr>
        <sz val="11"/>
        <rFont val="Calibri"/>
        <family val="2"/>
      </rPr>
      <t>Rhode Island (RI)</t>
    </r>
  </si>
  <si>
    <r>
      <rPr>
        <sz val="11"/>
        <rFont val="Calibri"/>
        <family val="2"/>
      </rPr>
      <t>Arizona (AZ)</t>
    </r>
  </si>
  <si>
    <r>
      <rPr>
        <sz val="11"/>
        <rFont val="Calibri"/>
        <family val="2"/>
      </rPr>
      <t>Georgia (GA)</t>
    </r>
  </si>
  <si>
    <r>
      <rPr>
        <sz val="11"/>
        <rFont val="Calibri"/>
        <family val="2"/>
      </rPr>
      <t>Nebraska (NE)</t>
    </r>
  </si>
  <si>
    <r>
      <rPr>
        <sz val="11"/>
        <rFont val="Calibri"/>
        <family val="2"/>
      </rPr>
      <t>South Dakota (SD)</t>
    </r>
  </si>
  <si>
    <r>
      <rPr>
        <sz val="11"/>
        <rFont val="Calibri"/>
        <family val="2"/>
      </rPr>
      <t>California (CA)</t>
    </r>
  </si>
  <si>
    <r>
      <rPr>
        <sz val="11"/>
        <rFont val="Calibri"/>
        <family val="2"/>
      </rPr>
      <t>Hawaii (HI)</t>
    </r>
  </si>
  <si>
    <r>
      <rPr>
        <sz val="11"/>
        <rFont val="Calibri"/>
        <family val="2"/>
      </rPr>
      <t>Nevada (NV)</t>
    </r>
  </si>
  <si>
    <r>
      <rPr>
        <sz val="11"/>
        <rFont val="Calibri"/>
        <family val="2"/>
      </rPr>
      <t>Tennessee (TN)</t>
    </r>
  </si>
  <si>
    <r>
      <rPr>
        <sz val="11"/>
        <rFont val="Calibri"/>
        <family val="2"/>
      </rPr>
      <t>Connecticut (CT)</t>
    </r>
  </si>
  <si>
    <r>
      <rPr>
        <sz val="11"/>
        <rFont val="Calibri"/>
        <family val="2"/>
      </rPr>
      <t>Idaho (ID)</t>
    </r>
  </si>
  <si>
    <r>
      <rPr>
        <sz val="11"/>
        <rFont val="Calibri"/>
        <family val="2"/>
      </rPr>
      <t>North Dakota (ND)</t>
    </r>
  </si>
  <si>
    <r>
      <rPr>
        <sz val="11"/>
        <rFont val="Calibri"/>
        <family val="2"/>
      </rPr>
      <t>Wisconsin (WI)</t>
    </r>
  </si>
  <si>
    <r>
      <rPr>
        <sz val="11"/>
        <rFont val="Calibri"/>
        <family val="2"/>
      </rPr>
      <t>District of Columbia (DC)</t>
    </r>
  </si>
  <si>
    <r>
      <rPr>
        <sz val="11"/>
        <rFont val="Calibri"/>
        <family val="2"/>
      </rPr>
      <t>Indiana (IN)</t>
    </r>
  </si>
  <si>
    <r>
      <rPr>
        <sz val="11"/>
        <rFont val="Calibri"/>
        <family val="2"/>
      </rPr>
      <t>Oregon (OR)</t>
    </r>
  </si>
  <si>
    <r>
      <rPr>
        <b/>
        <sz val="11"/>
        <color rgb="FFFFFFFF"/>
        <rFont val="Calibri"/>
        <family val="2"/>
      </rPr>
      <t>NO PREPAYMENT PENALTIES ALLOWED</t>
    </r>
  </si>
  <si>
    <r>
      <rPr>
        <sz val="11"/>
        <rFont val="Calibri"/>
        <family val="2"/>
      </rPr>
      <t>Alaska (AK)</t>
    </r>
  </si>
  <si>
    <r>
      <rPr>
        <sz val="11"/>
        <rFont val="Calibri"/>
        <family val="2"/>
      </rPr>
      <t>Louisiana (LA)</t>
    </r>
  </si>
  <si>
    <r>
      <rPr>
        <sz val="11"/>
        <rFont val="Calibri"/>
        <family val="2"/>
      </rPr>
      <t>New Hampshire (NH)</t>
    </r>
  </si>
  <si>
    <r>
      <rPr>
        <sz val="11"/>
        <rFont val="Calibri"/>
        <family val="2"/>
      </rPr>
      <t>Texas (TX)</t>
    </r>
  </si>
  <si>
    <r>
      <rPr>
        <sz val="11"/>
        <rFont val="Calibri"/>
        <family val="2"/>
      </rPr>
      <t>Arkansas (AR)</t>
    </r>
  </si>
  <si>
    <r>
      <rPr>
        <sz val="11"/>
        <rFont val="Calibri"/>
        <family val="2"/>
      </rPr>
      <t>Maine (ME)</t>
    </r>
  </si>
  <si>
    <r>
      <rPr>
        <sz val="11"/>
        <rFont val="Calibri"/>
        <family val="2"/>
      </rPr>
      <t>New Jersey (NJ)</t>
    </r>
  </si>
  <si>
    <r>
      <rPr>
        <sz val="11"/>
        <rFont val="Calibri"/>
        <family val="2"/>
      </rPr>
      <t>Utah (UT)</t>
    </r>
  </si>
  <si>
    <r>
      <rPr>
        <sz val="11"/>
        <rFont val="Calibri"/>
        <family val="2"/>
      </rPr>
      <t>Colorado (CO)</t>
    </r>
  </si>
  <si>
    <r>
      <rPr>
        <sz val="11"/>
        <rFont val="Calibri"/>
        <family val="2"/>
      </rPr>
      <t>Maryland (MD)</t>
    </r>
  </si>
  <si>
    <r>
      <rPr>
        <sz val="11"/>
        <rFont val="Calibri"/>
        <family val="2"/>
      </rPr>
      <t>New Mexico (NM)</t>
    </r>
  </si>
  <si>
    <r>
      <rPr>
        <sz val="11"/>
        <rFont val="Calibri"/>
        <family val="2"/>
      </rPr>
      <t>Vermont (VT)</t>
    </r>
  </si>
  <si>
    <r>
      <rPr>
        <sz val="11"/>
        <rFont val="Calibri"/>
        <family val="2"/>
      </rPr>
      <t>Delaware (DE)</t>
    </r>
  </si>
  <si>
    <r>
      <rPr>
        <sz val="11"/>
        <rFont val="Calibri"/>
        <family val="2"/>
      </rPr>
      <t>Michigan (MI)</t>
    </r>
  </si>
  <si>
    <r>
      <rPr>
        <sz val="11"/>
        <rFont val="Calibri"/>
        <family val="2"/>
      </rPr>
      <t>North Carolina (NC)</t>
    </r>
  </si>
  <si>
    <r>
      <rPr>
        <sz val="11"/>
        <rFont val="Calibri"/>
        <family val="2"/>
      </rPr>
      <t>Virginia (VA)</t>
    </r>
  </si>
  <si>
    <r>
      <rPr>
        <sz val="11"/>
        <rFont val="Calibri"/>
        <family val="2"/>
      </rPr>
      <t>Illinois (IL)</t>
    </r>
  </si>
  <si>
    <r>
      <rPr>
        <sz val="11"/>
        <rFont val="Calibri"/>
        <family val="2"/>
      </rPr>
      <t>Minnesota (MN)</t>
    </r>
  </si>
  <si>
    <r>
      <rPr>
        <sz val="11"/>
        <rFont val="Calibri"/>
        <family val="2"/>
      </rPr>
      <t>Ohio (OH)</t>
    </r>
  </si>
  <si>
    <r>
      <rPr>
        <sz val="11"/>
        <rFont val="Calibri"/>
        <family val="2"/>
      </rPr>
      <t>Washington (WA)</t>
    </r>
  </si>
  <si>
    <r>
      <rPr>
        <sz val="11"/>
        <rFont val="Calibri"/>
        <family val="2"/>
      </rPr>
      <t>Iowa (IA)</t>
    </r>
  </si>
  <si>
    <r>
      <rPr>
        <sz val="11"/>
        <rFont val="Calibri"/>
        <family val="2"/>
      </rPr>
      <t>Mississippi (MS)</t>
    </r>
  </si>
  <si>
    <r>
      <rPr>
        <sz val="11"/>
        <rFont val="Calibri"/>
        <family val="2"/>
      </rPr>
      <t>Oklahoma (OK)</t>
    </r>
  </si>
  <si>
    <r>
      <rPr>
        <sz val="11"/>
        <rFont val="Calibri"/>
        <family val="2"/>
      </rPr>
      <t>West Virginia (WV)</t>
    </r>
  </si>
  <si>
    <r>
      <rPr>
        <sz val="11"/>
        <rFont val="Calibri"/>
        <family val="2"/>
      </rPr>
      <t>Kansas (KS)</t>
    </r>
  </si>
  <si>
    <r>
      <rPr>
        <sz val="11"/>
        <rFont val="Calibri"/>
        <family val="2"/>
      </rPr>
      <t>Missouri (MO)</t>
    </r>
  </si>
  <si>
    <r>
      <rPr>
        <sz val="11"/>
        <rFont val="Calibri"/>
        <family val="2"/>
      </rPr>
      <t>Pennsylvania (PA)</t>
    </r>
  </si>
  <si>
    <r>
      <rPr>
        <sz val="11"/>
        <rFont val="Calibri"/>
        <family val="2"/>
      </rPr>
      <t>Wyoming (WY)</t>
    </r>
  </si>
  <si>
    <r>
      <rPr>
        <sz val="11"/>
        <rFont val="Calibri"/>
        <family val="2"/>
      </rPr>
      <t>Kentucky (KY)</t>
    </r>
  </si>
  <si>
    <r>
      <rPr>
        <sz val="11"/>
        <rFont val="Calibri"/>
        <family val="2"/>
      </rPr>
      <t>Montana (MT)</t>
    </r>
  </si>
  <si>
    <r>
      <rPr>
        <sz val="11"/>
        <rFont val="Calibri"/>
        <family val="2"/>
      </rPr>
      <t>South Carolina (SC)</t>
    </r>
  </si>
  <si>
    <t>Prepayment Penalty</t>
  </si>
  <si>
    <t>12 Months PPP*</t>
  </si>
  <si>
    <t>24 Months PPP*</t>
  </si>
  <si>
    <t>36 Months PPP*</t>
  </si>
  <si>
    <t>Notes: Previous special from 9/1/26</t>
  </si>
  <si>
    <t>Wholesale Ratesheet</t>
  </si>
  <si>
    <t>Effective Date:</t>
  </si>
  <si>
    <t>FICO/HCLTV Price Adjustments</t>
  </si>
  <si>
    <t>Rate</t>
  </si>
  <si>
    <t>NA</t>
  </si>
  <si>
    <t>Max Price</t>
  </si>
  <si>
    <t>Max Rate (CA)</t>
  </si>
  <si>
    <t>NC Floor 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</si>
</sst>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2">
    <numFmt numFmtId="6" formatCode="&quot;$&quot;#,##0_);[Red]\(&quot;$&quot;#,##0\)"/>
    <numFmt numFmtId="44" formatCode="_(&quot;$&quot;* #,##0.00_);_(&quot;$&quot;* \(#,##0.00\);_(&quot;$&quot;* &quot;-&quot;??_);_(@_)"/>
    <numFmt numFmtId="164" formatCode="#,##0.000"/>
    <numFmt numFmtId="165" formatCode="0.000"/>
    <numFmt numFmtId="166" formatCode="0.000_);\(0.000\)"/>
    <numFmt numFmtId="167" formatCode="ddd\,\ mmmm\ \-\ d\ \-\ yyyy"/>
    <numFmt numFmtId="168" formatCode="0;0;&quot;Choose a Selection&quot;"/>
    <numFmt numFmtId="169" formatCode="0.000;0.000;&quot;Choose a Selection&quot;"/>
    <numFmt numFmtId="170" formatCode="0.00000"/>
    <numFmt numFmtId="171" formatCode="&quot;$&quot;#,##0"/>
    <numFmt numFmtId="172" formatCode="&quot;$&quot;#,##0.00"/>
    <numFmt numFmtId="173" formatCode="#,##0.000_);\(#,##0.000\)"/>
  </numFmts>
  <fonts count="10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indexed="9"/>
      <name val="Arial"/>
      <family val="2"/>
    </font>
    <font>
      <sz val="10"/>
      <color rgb="FF003366"/>
      <name val="Arial"/>
      <family val="2"/>
    </font>
    <font>
      <sz val="10"/>
      <color theme="0"/>
      <name val="Arial"/>
      <family val="2"/>
    </font>
    <font>
      <sz val="8"/>
      <color theme="1"/>
      <name val="Arial"/>
      <family val="2"/>
    </font>
    <font>
      <b/>
      <sz val="10"/>
      <color theme="0"/>
      <name val="Arial"/>
      <family val="2"/>
    </font>
    <font>
      <sz val="10"/>
      <color indexed="8"/>
      <name val="Arial"/>
      <family val="2"/>
    </font>
    <font>
      <b/>
      <sz val="10"/>
      <color rgb="FF003366"/>
      <name val="Arial"/>
      <family val="2"/>
    </font>
    <font>
      <sz val="8"/>
      <name val="Arial"/>
      <family val="2"/>
    </font>
    <font>
      <sz val="8"/>
      <color rgb="FFC00000"/>
      <name val="Arial"/>
      <family val="2"/>
    </font>
    <font>
      <b/>
      <sz val="8"/>
      <color indexed="9"/>
      <name val="Arial"/>
      <family val="2"/>
    </font>
    <font>
      <sz val="9"/>
      <name val="Arial"/>
      <family val="2"/>
    </font>
    <font>
      <sz val="10"/>
      <color rgb="FFFF0000"/>
      <name val="Arial"/>
      <family val="2"/>
    </font>
    <font>
      <sz val="10"/>
      <color indexed="8"/>
      <name val="Calibri"/>
      <family val="2"/>
    </font>
    <font>
      <sz val="9"/>
      <color indexed="8"/>
      <name val="Arial"/>
      <family val="2"/>
    </font>
    <font>
      <b/>
      <sz val="12"/>
      <color indexed="9"/>
      <name val="Arial"/>
      <family val="2"/>
    </font>
    <font>
      <u/>
      <sz val="10"/>
      <color indexed="12"/>
      <name val="Arial"/>
      <family val="2"/>
    </font>
    <font>
      <sz val="10"/>
      <name val="Calibri"/>
      <family val="2"/>
    </font>
    <font>
      <b/>
      <sz val="11"/>
      <color indexed="8"/>
      <name val="Calibri"/>
      <family val="2"/>
    </font>
    <font>
      <sz val="12"/>
      <name val="Calibri"/>
      <family val="2"/>
    </font>
    <font>
      <b/>
      <sz val="11"/>
      <color indexed="9"/>
      <name val="Calibri"/>
      <family val="2"/>
    </font>
    <font>
      <b/>
      <sz val="10"/>
      <color indexed="9"/>
      <name val="Calibri"/>
      <family val="2"/>
    </font>
    <font>
      <sz val="14"/>
      <color indexed="8"/>
      <name val="Calibri"/>
      <family val="2"/>
    </font>
    <font>
      <b/>
      <sz val="14"/>
      <color indexed="8"/>
      <name val="Calibri"/>
      <family val="2"/>
    </font>
    <font>
      <b/>
      <sz val="10"/>
      <color indexed="8"/>
      <name val="Calibri"/>
      <family val="2"/>
    </font>
    <font>
      <b/>
      <sz val="10"/>
      <color indexed="8"/>
      <name val="Arial"/>
      <family val="2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b/>
      <sz val="14"/>
      <color theme="1"/>
      <name val="Arial"/>
      <family val="2"/>
    </font>
    <font>
      <sz val="9"/>
      <color rgb="FFD6DCE9"/>
      <name val="Arial Black"/>
      <family val="2"/>
    </font>
    <font>
      <sz val="10"/>
      <color rgb="FFD6DCE9"/>
      <name val="Arial Black"/>
      <family val="2"/>
    </font>
    <font>
      <b/>
      <i/>
      <sz val="18"/>
      <name val="Arial"/>
      <family val="2"/>
    </font>
    <font>
      <i/>
      <sz val="12"/>
      <name val="Arial"/>
      <family val="2"/>
    </font>
    <font>
      <b/>
      <sz val="10"/>
      <color rgb="FFFF0000"/>
      <name val="Arial"/>
      <family val="2"/>
    </font>
    <font>
      <sz val="11"/>
      <name val="Calibri"/>
      <family val="2"/>
      <scheme val="minor"/>
    </font>
    <font>
      <b/>
      <sz val="10"/>
      <name val="Arial"/>
      <family val="2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name val="Arial"/>
      <family val="2"/>
    </font>
    <font>
      <sz val="11"/>
      <color rgb="FFFF0000"/>
      <name val="Arial"/>
      <family val="2"/>
    </font>
    <font>
      <b/>
      <sz val="12"/>
      <color rgb="FFFF0000"/>
      <name val="Arial"/>
      <family val="2"/>
    </font>
    <font>
      <sz val="11"/>
      <color rgb="FFD6DCE9"/>
      <name val="Arial Black"/>
      <family val="2"/>
    </font>
    <font>
      <b/>
      <sz val="20"/>
      <color indexed="9"/>
      <name val="Arial"/>
      <family val="2"/>
    </font>
    <font>
      <b/>
      <i/>
      <sz val="11"/>
      <color theme="0"/>
      <name val="Arial"/>
      <family val="2"/>
    </font>
    <font>
      <b/>
      <sz val="11"/>
      <color indexed="9"/>
      <name val="Free sans"/>
    </font>
    <font>
      <sz val="12"/>
      <color theme="1"/>
      <name val="Calibri"/>
      <family val="2"/>
      <scheme val="minor"/>
    </font>
    <font>
      <b/>
      <sz val="11"/>
      <color theme="0"/>
      <name val="Arial"/>
      <family val="2"/>
    </font>
    <font>
      <sz val="10"/>
      <color rgb="FFBFBFBF"/>
      <name val="Arial Black"/>
      <family val="2"/>
    </font>
    <font>
      <b/>
      <sz val="12"/>
      <color rgb="FFFFFF00"/>
      <name val="Aptos Narrow"/>
      <family val="2"/>
    </font>
    <font>
      <b/>
      <sz val="11"/>
      <color theme="0"/>
      <name val="Aptos Narrow"/>
      <family val="2"/>
    </font>
    <font>
      <b/>
      <sz val="18"/>
      <color indexed="9"/>
      <name val="Aptos Narrow"/>
      <family val="2"/>
    </font>
    <font>
      <b/>
      <sz val="12"/>
      <color indexed="9"/>
      <name val="Aptos Narrow"/>
      <family val="2"/>
    </font>
    <font>
      <sz val="11"/>
      <color theme="1"/>
      <name val="Aptos Narrow"/>
      <family val="2"/>
    </font>
    <font>
      <b/>
      <sz val="11"/>
      <color theme="1"/>
      <name val="Aptos Narrow"/>
      <family val="2"/>
    </font>
    <font>
      <sz val="11"/>
      <name val="Aptos Narrow"/>
      <family val="2"/>
    </font>
    <font>
      <sz val="10"/>
      <color theme="1"/>
      <name val="Aptos Narrow"/>
      <family val="2"/>
    </font>
    <font>
      <sz val="9"/>
      <name val="Aptos Narrow"/>
      <family val="2"/>
    </font>
    <font>
      <b/>
      <sz val="20"/>
      <color indexed="9"/>
      <name val="Aptos Narrow"/>
      <family val="2"/>
    </font>
    <font>
      <b/>
      <sz val="10"/>
      <color theme="0"/>
      <name val="Aptos Narrow"/>
      <family val="2"/>
    </font>
    <font>
      <sz val="10"/>
      <color rgb="FF003366"/>
      <name val="Aptos Narrow"/>
      <family val="2"/>
    </font>
    <font>
      <sz val="10"/>
      <color rgb="FFFF0000"/>
      <name val="Aptos Narrow"/>
      <family val="2"/>
    </font>
    <font>
      <sz val="9"/>
      <color rgb="FF003366"/>
      <name val="Aptos Narrow"/>
      <family val="2"/>
    </font>
    <font>
      <b/>
      <sz val="12"/>
      <color theme="0"/>
      <name val="Aptos Narrow"/>
      <family val="2"/>
    </font>
    <font>
      <b/>
      <sz val="11"/>
      <name val="Aptos Narrow"/>
      <family val="2"/>
    </font>
    <font>
      <b/>
      <sz val="12"/>
      <name val="Aptos Narrow"/>
      <family val="2"/>
    </font>
    <font>
      <b/>
      <sz val="12"/>
      <color rgb="FFFF0000"/>
      <name val="Aptos Narrow"/>
      <family val="2"/>
    </font>
    <font>
      <b/>
      <sz val="12"/>
      <color theme="1"/>
      <name val="Aptos Narrow"/>
      <family val="2"/>
    </font>
    <font>
      <i/>
      <sz val="11"/>
      <name val="Aptos Narrow"/>
      <family val="2"/>
    </font>
    <font>
      <sz val="9"/>
      <color theme="1"/>
      <name val="Aptos Narrow"/>
      <family val="2"/>
    </font>
    <font>
      <b/>
      <sz val="9"/>
      <color rgb="FFFF0000"/>
      <name val="Aptos Narrow"/>
      <family val="2"/>
    </font>
    <font>
      <b/>
      <sz val="9"/>
      <name val="Aptos Narrow"/>
      <family val="2"/>
    </font>
    <font>
      <u/>
      <sz val="10"/>
      <color indexed="12"/>
      <name val="Aptos Narrow"/>
      <family val="2"/>
    </font>
    <font>
      <b/>
      <sz val="10"/>
      <color rgb="FF3A3838"/>
      <name val="Aptos Narrow"/>
      <family val="2"/>
    </font>
    <font>
      <sz val="8"/>
      <color theme="1"/>
      <name val="Aptos Narrow"/>
      <family val="2"/>
    </font>
    <font>
      <b/>
      <sz val="10"/>
      <color indexed="9"/>
      <name val="Aptos Narrow"/>
      <family val="2"/>
    </font>
    <font>
      <b/>
      <sz val="11"/>
      <color theme="4" tint="-0.499984740745262"/>
      <name val="Aptos Narrow"/>
      <family val="2"/>
    </font>
    <font>
      <sz val="9"/>
      <color theme="0"/>
      <name val="Aptos Narrow"/>
      <family val="2"/>
    </font>
    <font>
      <b/>
      <i/>
      <sz val="11"/>
      <color theme="0"/>
      <name val="Aptos Narrow"/>
      <family val="2"/>
    </font>
    <font>
      <b/>
      <sz val="14"/>
      <color theme="1"/>
      <name val="Aptos Narrow"/>
      <family val="2"/>
    </font>
    <font>
      <b/>
      <sz val="10"/>
      <name val="Aptos Narrow"/>
      <family val="2"/>
    </font>
    <font>
      <sz val="11"/>
      <color rgb="FFD6DCE9"/>
      <name val="Aptos Narrow"/>
      <family val="2"/>
    </font>
    <font>
      <sz val="9"/>
      <color rgb="FFD6DCE9"/>
      <name val="Aptos Narrow"/>
      <family val="2"/>
    </font>
    <font>
      <sz val="10"/>
      <color rgb="FFD6DCE9"/>
      <name val="Aptos Narrow"/>
      <family val="2"/>
    </font>
    <font>
      <b/>
      <sz val="10"/>
      <color rgb="FFFF0000"/>
      <name val="Aptos Narrow"/>
      <family val="2"/>
    </font>
    <font>
      <sz val="11"/>
      <color rgb="FFBFBFBF"/>
      <name val="Aptos Narrow"/>
      <family val="2"/>
    </font>
    <font>
      <b/>
      <i/>
      <sz val="18"/>
      <color theme="0"/>
      <name val="Aptos Narrow"/>
      <family val="2"/>
    </font>
    <font>
      <sz val="11"/>
      <color theme="0"/>
      <name val="Calibri"/>
      <family val="2"/>
      <scheme val="minor"/>
    </font>
    <font>
      <b/>
      <sz val="12"/>
      <color theme="0"/>
      <name val="Arial"/>
      <family val="2"/>
    </font>
    <font>
      <b/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0"/>
      <name val="Calibri"/>
      <family val="2"/>
    </font>
    <font>
      <sz val="11"/>
      <name val="Symbol"/>
      <family val="1"/>
    </font>
    <font>
      <sz val="11"/>
      <name val="Times New Roman"/>
      <family val="1"/>
    </font>
    <font>
      <sz val="11"/>
      <name val="Calibri"/>
      <family val="2"/>
    </font>
    <font>
      <b/>
      <sz val="12"/>
      <name val="Calibri"/>
      <family val="2"/>
    </font>
    <font>
      <b/>
      <sz val="10.5"/>
      <color rgb="FFC00000"/>
      <name val="Calibri"/>
      <family val="2"/>
    </font>
    <font>
      <b/>
      <sz val="11"/>
      <name val="Calibri"/>
      <family val="2"/>
    </font>
    <font>
      <b/>
      <sz val="11"/>
      <color rgb="FFFFFFFF"/>
      <name val="Calibri"/>
      <family val="2"/>
    </font>
  </fonts>
  <fills count="23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rgb="FF003366"/>
        <bgColor indexed="64"/>
      </patternFill>
    </fill>
    <fill>
      <patternFill patternType="lightDown"/>
    </fill>
    <fill>
      <patternFill patternType="solid">
        <fgColor theme="4" tint="-0.49998474074526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D6DCE9"/>
        <bgColor indexed="64"/>
      </patternFill>
    </fill>
    <fill>
      <gradientFill degree="90">
        <stop position="0">
          <color theme="0"/>
        </stop>
        <stop position="1">
          <color theme="2"/>
        </stop>
      </gradient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203764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3A3838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F5F5F5"/>
        </stop>
      </gradientFill>
    </fill>
    <fill>
      <patternFill patternType="solid">
        <fgColor rgb="FF006FC0"/>
      </patternFill>
    </fill>
  </fills>
  <borders count="97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medium">
        <color indexed="0"/>
      </top>
      <bottom/>
      <diagonal/>
    </border>
    <border>
      <left style="medium">
        <color indexed="64"/>
      </left>
      <right/>
      <top style="medium">
        <color indexed="0"/>
      </top>
      <bottom/>
      <diagonal/>
    </border>
    <border>
      <left/>
      <right style="medium">
        <color indexed="64"/>
      </right>
      <top style="medium">
        <color indexed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theme="3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theme="0" tint="-0.34998626667073579"/>
      </top>
      <bottom/>
      <diagonal/>
    </border>
    <border>
      <left/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theme="0" tint="-0.2499465926084170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rgb="FF7E7E7E"/>
      </left>
      <right/>
      <top style="thin">
        <color rgb="FF7E7E7E"/>
      </top>
      <bottom style="thin">
        <color rgb="FF7E7E7E"/>
      </bottom>
      <diagonal/>
    </border>
    <border>
      <left/>
      <right/>
      <top style="thin">
        <color rgb="FF7E7E7E"/>
      </top>
      <bottom style="thin">
        <color rgb="FF7E7E7E"/>
      </bottom>
      <diagonal/>
    </border>
    <border>
      <left/>
      <right style="thin">
        <color rgb="FF7E7E7E"/>
      </right>
      <top style="thin">
        <color rgb="FF7E7E7E"/>
      </top>
      <bottom style="thin">
        <color rgb="FF7E7E7E"/>
      </bottom>
      <diagonal/>
    </border>
    <border>
      <left style="thin">
        <color rgb="FF7E7E7E"/>
      </left>
      <right style="thin">
        <color rgb="FF7E7E7E"/>
      </right>
      <top style="thin">
        <color rgb="FF7E7E7E"/>
      </top>
      <bottom style="thin">
        <color rgb="FF7E7E7E"/>
      </bottom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0" fontId="3" fillId="0" borderId="0"/>
    <xf numFmtId="44" fontId="1" fillId="0" borderId="0" applyFont="0" applyFill="0" applyBorder="0" applyAlignment="0" applyProtection="0"/>
    <xf numFmtId="0" fontId="10" fillId="0" borderId="0"/>
    <xf numFmtId="0" fontId="20" fillId="0" borderId="0" applyNumberFormat="0" applyFill="0" applyBorder="0" applyAlignment="0" applyProtection="0"/>
    <xf numFmtId="44" fontId="3" fillId="0" borderId="0" applyFont="0" applyFill="0" applyBorder="0" applyAlignment="0" applyProtection="0"/>
    <xf numFmtId="0" fontId="1" fillId="0" borderId="0"/>
  </cellStyleXfs>
  <cellXfs count="498">
    <xf numFmtId="0" fontId="0" fillId="0" borderId="0" xfId="0"/>
    <xf numFmtId="164" fontId="6" fillId="0" borderId="1" xfId="1" applyNumberFormat="1" applyFont="1" applyBorder="1" applyAlignment="1" applyProtection="1">
      <alignment horizontal="center" vertical="top"/>
      <protection hidden="1"/>
    </xf>
    <xf numFmtId="164" fontId="11" fillId="0" borderId="8" xfId="1" applyNumberFormat="1" applyFont="1" applyBorder="1" applyAlignment="1" applyProtection="1">
      <alignment horizontal="center" vertical="top"/>
      <protection hidden="1"/>
    </xf>
    <xf numFmtId="0" fontId="3" fillId="0" borderId="0" xfId="2"/>
    <xf numFmtId="0" fontId="3" fillId="0" borderId="29" xfId="2" applyBorder="1"/>
    <xf numFmtId="0" fontId="17" fillId="0" borderId="0" xfId="2" applyFont="1"/>
    <xf numFmtId="0" fontId="25" fillId="11" borderId="0" xfId="2" applyFont="1" applyFill="1" applyAlignment="1">
      <alignment horizontal="center" vertical="center"/>
    </xf>
    <xf numFmtId="0" fontId="17" fillId="0" borderId="0" xfId="2" applyFont="1" applyAlignment="1">
      <alignment horizontal="center"/>
    </xf>
    <xf numFmtId="0" fontId="22" fillId="0" borderId="0" xfId="2" applyFont="1" applyAlignment="1">
      <alignment horizontal="center" vertical="center"/>
    </xf>
    <xf numFmtId="0" fontId="3" fillId="0" borderId="15" xfId="2" applyBorder="1"/>
    <xf numFmtId="0" fontId="10" fillId="0" borderId="28" xfId="2" applyFont="1" applyBorder="1"/>
    <xf numFmtId="0" fontId="10" fillId="0" borderId="26" xfId="2" applyFont="1" applyBorder="1"/>
    <xf numFmtId="0" fontId="10" fillId="0" borderId="19" xfId="2" applyFont="1" applyBorder="1"/>
    <xf numFmtId="0" fontId="20" fillId="0" borderId="36" xfId="5" applyBorder="1" applyAlignment="1">
      <alignment horizontal="left" vertical="center"/>
    </xf>
    <xf numFmtId="0" fontId="10" fillId="0" borderId="20" xfId="2" applyFont="1" applyBorder="1" applyAlignment="1">
      <alignment horizontal="left" vertical="center"/>
    </xf>
    <xf numFmtId="0" fontId="10" fillId="0" borderId="19" xfId="2" applyFont="1" applyBorder="1" applyAlignment="1">
      <alignment horizontal="left" vertical="center"/>
    </xf>
    <xf numFmtId="0" fontId="3" fillId="0" borderId="5" xfId="2" applyBorder="1"/>
    <xf numFmtId="0" fontId="3" fillId="0" borderId="9" xfId="2" applyBorder="1"/>
    <xf numFmtId="0" fontId="3" fillId="0" borderId="16" xfId="2" applyBorder="1"/>
    <xf numFmtId="0" fontId="3" fillId="0" borderId="30" xfId="2" applyBorder="1"/>
    <xf numFmtId="0" fontId="3" fillId="0" borderId="31" xfId="2" applyBorder="1"/>
    <xf numFmtId="0" fontId="3" fillId="0" borderId="17" xfId="2" applyBorder="1"/>
    <xf numFmtId="0" fontId="28" fillId="0" borderId="0" xfId="2" applyFont="1" applyAlignment="1">
      <alignment horizontal="center"/>
    </xf>
    <xf numFmtId="0" fontId="27" fillId="0" borderId="0" xfId="2" applyFont="1" applyAlignment="1">
      <alignment horizontal="center"/>
    </xf>
    <xf numFmtId="0" fontId="26" fillId="0" borderId="0" xfId="2" applyFont="1" applyAlignment="1">
      <alignment horizontal="center"/>
    </xf>
    <xf numFmtId="0" fontId="17" fillId="0" borderId="17" xfId="2" applyFont="1" applyBorder="1"/>
    <xf numFmtId="0" fontId="25" fillId="0" borderId="0" xfId="2" applyFont="1" applyAlignment="1">
      <alignment horizontal="center" vertical="center"/>
    </xf>
    <xf numFmtId="164" fontId="12" fillId="0" borderId="0" xfId="2" applyNumberFormat="1" applyFont="1" applyAlignment="1">
      <alignment horizontal="center"/>
    </xf>
    <xf numFmtId="0" fontId="3" fillId="12" borderId="0" xfId="2" applyFill="1" applyAlignment="1">
      <alignment horizontal="center" wrapText="1"/>
    </xf>
    <xf numFmtId="165" fontId="12" fillId="12" borderId="0" xfId="2" applyNumberFormat="1" applyFont="1" applyFill="1" applyAlignment="1">
      <alignment horizontal="center"/>
    </xf>
    <xf numFmtId="0" fontId="10" fillId="0" borderId="0" xfId="2" applyFont="1"/>
    <xf numFmtId="0" fontId="10" fillId="0" borderId="0" xfId="2" applyFont="1" applyAlignment="1">
      <alignment horizontal="left" vertical="center"/>
    </xf>
    <xf numFmtId="0" fontId="10" fillId="0" borderId="9" xfId="2" applyFont="1" applyBorder="1"/>
    <xf numFmtId="0" fontId="10" fillId="0" borderId="16" xfId="2" applyFont="1" applyBorder="1"/>
    <xf numFmtId="0" fontId="10" fillId="0" borderId="15" xfId="2" applyFont="1" applyBorder="1"/>
    <xf numFmtId="0" fontId="10" fillId="0" borderId="41" xfId="2" applyFont="1" applyBorder="1"/>
    <xf numFmtId="0" fontId="10" fillId="0" borderId="42" xfId="2" applyFont="1" applyBorder="1"/>
    <xf numFmtId="0" fontId="20" fillId="0" borderId="42" xfId="5" applyBorder="1" applyAlignment="1">
      <alignment horizontal="left" vertical="center"/>
    </xf>
    <xf numFmtId="0" fontId="10" fillId="0" borderId="43" xfId="2" applyFont="1" applyBorder="1"/>
    <xf numFmtId="0" fontId="10" fillId="0" borderId="15" xfId="2" applyFont="1" applyBorder="1" applyAlignment="1">
      <alignment horizontal="left" vertical="center"/>
    </xf>
    <xf numFmtId="0" fontId="3" fillId="0" borderId="42" xfId="2" applyBorder="1" applyAlignment="1">
      <alignment horizontal="left" vertical="center"/>
    </xf>
    <xf numFmtId="0" fontId="3" fillId="0" borderId="15" xfId="2" applyBorder="1" applyAlignment="1">
      <alignment horizontal="left" vertical="center"/>
    </xf>
    <xf numFmtId="0" fontId="3" fillId="0" borderId="18" xfId="2" applyBorder="1" applyAlignment="1">
      <alignment horizontal="left" vertical="center"/>
    </xf>
    <xf numFmtId="0" fontId="10" fillId="0" borderId="13" xfId="2" applyFont="1" applyBorder="1" applyAlignment="1">
      <alignment horizontal="left" vertical="center"/>
    </xf>
    <xf numFmtId="0" fontId="10" fillId="0" borderId="44" xfId="2" applyFont="1" applyBorder="1" applyAlignment="1">
      <alignment horizontal="left" vertical="center"/>
    </xf>
    <xf numFmtId="0" fontId="15" fillId="0" borderId="2" xfId="2" applyFont="1" applyBorder="1"/>
    <xf numFmtId="165" fontId="12" fillId="12" borderId="12" xfId="2" applyNumberFormat="1" applyFont="1" applyFill="1" applyBorder="1" applyAlignment="1">
      <alignment horizontal="center" vertical="center"/>
    </xf>
    <xf numFmtId="0" fontId="14" fillId="13" borderId="48" xfId="2" applyFont="1" applyFill="1" applyBorder="1" applyAlignment="1">
      <alignment horizontal="center" vertical="center" wrapText="1"/>
    </xf>
    <xf numFmtId="0" fontId="0" fillId="0" borderId="0" xfId="0" applyProtection="1">
      <protection hidden="1"/>
    </xf>
    <xf numFmtId="0" fontId="8" fillId="0" borderId="0" xfId="0" applyFont="1" applyProtection="1">
      <protection hidden="1"/>
    </xf>
    <xf numFmtId="0" fontId="7" fillId="5" borderId="0" xfId="0" applyFont="1" applyFill="1" applyAlignment="1" applyProtection="1">
      <alignment horizontal="center" vertical="center"/>
      <protection hidden="1"/>
    </xf>
    <xf numFmtId="0" fontId="10" fillId="0" borderId="42" xfId="2" applyFont="1" applyBorder="1" applyAlignment="1">
      <alignment horizontal="left" vertical="center"/>
    </xf>
    <xf numFmtId="165" fontId="0" fillId="0" borderId="0" xfId="0" applyNumberFormat="1" applyProtection="1">
      <protection hidden="1"/>
    </xf>
    <xf numFmtId="1" fontId="0" fillId="0" borderId="0" xfId="0" applyNumberFormat="1" applyProtection="1">
      <protection hidden="1"/>
    </xf>
    <xf numFmtId="0" fontId="0" fillId="0" borderId="7" xfId="0" applyBorder="1" applyAlignment="1" applyProtection="1">
      <alignment horizontal="center" vertical="center"/>
      <protection hidden="1"/>
    </xf>
    <xf numFmtId="0" fontId="6" fillId="0" borderId="15" xfId="1" applyNumberFormat="1" applyFont="1" applyBorder="1" applyAlignment="1" applyProtection="1">
      <alignment horizontal="center" vertical="center"/>
      <protection hidden="1"/>
    </xf>
    <xf numFmtId="0" fontId="0" fillId="0" borderId="17" xfId="0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164" fontId="11" fillId="0" borderId="45" xfId="1" applyNumberFormat="1" applyFont="1" applyBorder="1" applyAlignment="1" applyProtection="1">
      <alignment horizontal="center" vertical="top"/>
      <protection hidden="1"/>
    </xf>
    <xf numFmtId="0" fontId="2" fillId="0" borderId="0" xfId="0" applyFont="1" applyProtection="1">
      <protection hidden="1"/>
    </xf>
    <xf numFmtId="0" fontId="7" fillId="5" borderId="5" xfId="0" applyFont="1" applyFill="1" applyBorder="1" applyAlignment="1" applyProtection="1">
      <alignment horizontal="center" vertical="center"/>
      <protection hidden="1"/>
    </xf>
    <xf numFmtId="0" fontId="7" fillId="5" borderId="53" xfId="0" applyFont="1" applyFill="1" applyBorder="1" applyAlignment="1" applyProtection="1">
      <alignment horizontal="center" vertical="center"/>
      <protection hidden="1"/>
    </xf>
    <xf numFmtId="0" fontId="40" fillId="0" borderId="0" xfId="0" applyFont="1" applyProtection="1">
      <protection hidden="1"/>
    </xf>
    <xf numFmtId="0" fontId="12" fillId="0" borderId="0" xfId="4" applyFont="1" applyProtection="1">
      <protection hidden="1"/>
    </xf>
    <xf numFmtId="0" fontId="42" fillId="0" borderId="0" xfId="0" applyFont="1" applyAlignment="1" applyProtection="1">
      <alignment vertical="center"/>
      <protection hidden="1"/>
    </xf>
    <xf numFmtId="0" fontId="38" fillId="0" borderId="0" xfId="0" applyFont="1" applyProtection="1">
      <protection hidden="1"/>
    </xf>
    <xf numFmtId="0" fontId="30" fillId="0" borderId="0" xfId="0" applyFont="1" applyProtection="1">
      <protection hidden="1"/>
    </xf>
    <xf numFmtId="0" fontId="7" fillId="5" borderId="63" xfId="0" applyFont="1" applyFill="1" applyBorder="1" applyAlignment="1" applyProtection="1">
      <alignment horizontal="center" vertical="center"/>
      <protection hidden="1"/>
    </xf>
    <xf numFmtId="164" fontId="11" fillId="0" borderId="57" xfId="1" applyNumberFormat="1" applyFont="1" applyBorder="1" applyAlignment="1" applyProtection="1">
      <alignment horizontal="center" vertical="top"/>
      <protection hidden="1"/>
    </xf>
    <xf numFmtId="165" fontId="6" fillId="0" borderId="60" xfId="1" applyNumberFormat="1" applyFont="1" applyBorder="1" applyAlignment="1" applyProtection="1">
      <alignment horizontal="center" vertical="top"/>
      <protection hidden="1"/>
    </xf>
    <xf numFmtId="165" fontId="6" fillId="0" borderId="56" xfId="1" applyNumberFormat="1" applyFont="1" applyBorder="1" applyAlignment="1" applyProtection="1">
      <alignment horizontal="center" vertical="top"/>
      <protection hidden="1"/>
    </xf>
    <xf numFmtId="0" fontId="10" fillId="0" borderId="68" xfId="2" applyFont="1" applyBorder="1"/>
    <xf numFmtId="0" fontId="3" fillId="0" borderId="55" xfId="2" applyBorder="1"/>
    <xf numFmtId="0" fontId="10" fillId="0" borderId="69" xfId="2" applyFont="1" applyBorder="1"/>
    <xf numFmtId="0" fontId="10" fillId="0" borderId="55" xfId="2" applyFont="1" applyBorder="1" applyAlignment="1">
      <alignment horizontal="left" vertical="center"/>
    </xf>
    <xf numFmtId="0" fontId="10" fillId="0" borderId="69" xfId="2" applyFont="1" applyBorder="1" applyAlignment="1">
      <alignment horizontal="left" vertical="center"/>
    </xf>
    <xf numFmtId="165" fontId="12" fillId="12" borderId="56" xfId="2" applyNumberFormat="1" applyFont="1" applyFill="1" applyBorder="1" applyAlignment="1">
      <alignment horizontal="center" vertical="center"/>
    </xf>
    <xf numFmtId="0" fontId="10" fillId="0" borderId="68" xfId="2" applyFont="1" applyBorder="1" applyAlignment="1">
      <alignment horizontal="left" vertical="center"/>
    </xf>
    <xf numFmtId="165" fontId="12" fillId="12" borderId="66" xfId="2" applyNumberFormat="1" applyFont="1" applyFill="1" applyBorder="1" applyAlignment="1">
      <alignment horizontal="center" vertical="center"/>
    </xf>
    <xf numFmtId="0" fontId="3" fillId="0" borderId="69" xfId="2" applyBorder="1" applyAlignment="1">
      <alignment horizontal="left" vertical="center"/>
    </xf>
    <xf numFmtId="0" fontId="0" fillId="0" borderId="0" xfId="0" quotePrefix="1" applyProtection="1">
      <protection hidden="1"/>
    </xf>
    <xf numFmtId="168" fontId="0" fillId="0" borderId="0" xfId="0" applyNumberFormat="1" applyProtection="1">
      <protection hidden="1"/>
    </xf>
    <xf numFmtId="170" fontId="0" fillId="0" borderId="0" xfId="0" applyNumberFormat="1" applyProtection="1">
      <protection hidden="1"/>
    </xf>
    <xf numFmtId="164" fontId="11" fillId="0" borderId="57" xfId="1" applyNumberFormat="1" applyFont="1" applyFill="1" applyBorder="1" applyAlignment="1" applyProtection="1">
      <alignment horizontal="center" vertical="top"/>
      <protection hidden="1"/>
    </xf>
    <xf numFmtId="165" fontId="6" fillId="0" borderId="60" xfId="1" applyNumberFormat="1" applyFont="1" applyFill="1" applyBorder="1" applyAlignment="1" applyProtection="1">
      <alignment horizontal="center" vertical="top"/>
      <protection hidden="1"/>
    </xf>
    <xf numFmtId="0" fontId="0" fillId="0" borderId="51" xfId="0" applyBorder="1" applyAlignment="1">
      <alignment horizontal="center"/>
    </xf>
    <xf numFmtId="0" fontId="38" fillId="0" borderId="0" xfId="0" applyFont="1" applyAlignment="1" applyProtection="1">
      <alignment horizontal="center"/>
      <protection hidden="1"/>
    </xf>
    <xf numFmtId="165" fontId="42" fillId="0" borderId="9" xfId="0" applyNumberFormat="1" applyFont="1" applyBorder="1" applyAlignment="1" applyProtection="1">
      <alignment horizontal="center" vertical="top"/>
      <protection hidden="1"/>
    </xf>
    <xf numFmtId="165" fontId="38" fillId="0" borderId="16" xfId="0" applyNumberFormat="1" applyFont="1" applyBorder="1" applyAlignment="1" applyProtection="1">
      <alignment horizontal="center"/>
      <protection hidden="1"/>
    </xf>
    <xf numFmtId="0" fontId="42" fillId="0" borderId="10" xfId="0" applyFont="1" applyBorder="1" applyAlignment="1" applyProtection="1">
      <alignment horizontal="center" vertical="top"/>
      <protection hidden="1"/>
    </xf>
    <xf numFmtId="165" fontId="38" fillId="0" borderId="18" xfId="0" applyNumberFormat="1" applyFont="1" applyBorder="1" applyAlignment="1" applyProtection="1">
      <alignment horizontal="center"/>
      <protection hidden="1"/>
    </xf>
    <xf numFmtId="0" fontId="7" fillId="5" borderId="48" xfId="0" applyFont="1" applyFill="1" applyBorder="1" applyAlignment="1" applyProtection="1">
      <alignment horizontal="center" vertical="center"/>
      <protection hidden="1"/>
    </xf>
    <xf numFmtId="164" fontId="11" fillId="0" borderId="77" xfId="1" applyNumberFormat="1" applyFont="1" applyBorder="1" applyAlignment="1" applyProtection="1">
      <alignment horizontal="center" vertical="top"/>
      <protection hidden="1"/>
    </xf>
    <xf numFmtId="164" fontId="6" fillId="0" borderId="78" xfId="1" applyNumberFormat="1" applyFont="1" applyBorder="1" applyAlignment="1" applyProtection="1">
      <alignment horizontal="center" vertical="top"/>
      <protection hidden="1"/>
    </xf>
    <xf numFmtId="165" fontId="6" fillId="0" borderId="11" xfId="1" applyNumberFormat="1" applyFont="1" applyBorder="1" applyAlignment="1" applyProtection="1">
      <alignment horizontal="center" vertical="top"/>
      <protection hidden="1"/>
    </xf>
    <xf numFmtId="165" fontId="6" fillId="0" borderId="12" xfId="1" applyNumberFormat="1" applyFont="1" applyBorder="1" applyAlignment="1" applyProtection="1">
      <alignment horizontal="center" vertical="top"/>
      <protection hidden="1"/>
    </xf>
    <xf numFmtId="165" fontId="6" fillId="0" borderId="56" xfId="1" applyNumberFormat="1" applyFont="1" applyFill="1" applyBorder="1" applyAlignment="1" applyProtection="1">
      <alignment horizontal="center" vertical="top"/>
      <protection hidden="1"/>
    </xf>
    <xf numFmtId="0" fontId="2" fillId="0" borderId="0" xfId="0" applyFont="1"/>
    <xf numFmtId="0" fontId="2" fillId="0" borderId="0" xfId="0" applyFont="1" applyAlignment="1" applyProtection="1">
      <alignment horizontal="left"/>
      <protection hidden="1"/>
    </xf>
    <xf numFmtId="0" fontId="2" fillId="0" borderId="0" xfId="3" applyNumberFormat="1" applyFont="1" applyProtection="1">
      <protection hidden="1"/>
    </xf>
    <xf numFmtId="165" fontId="2" fillId="0" borderId="74" xfId="0" applyNumberFormat="1" applyFont="1" applyBorder="1"/>
    <xf numFmtId="165" fontId="43" fillId="10" borderId="6" xfId="0" applyNumberFormat="1" applyFont="1" applyFill="1" applyBorder="1" applyAlignment="1" applyProtection="1">
      <alignment horizontal="center"/>
      <protection hidden="1"/>
    </xf>
    <xf numFmtId="0" fontId="30" fillId="0" borderId="0" xfId="0" applyFont="1" applyAlignment="1" applyProtection="1">
      <alignment horizontal="left"/>
      <protection hidden="1"/>
    </xf>
    <xf numFmtId="0" fontId="0" fillId="0" borderId="0" xfId="0" applyAlignment="1">
      <alignment vertical="center"/>
    </xf>
    <xf numFmtId="0" fontId="2" fillId="0" borderId="0" xfId="0" quotePrefix="1" applyFont="1" applyProtection="1">
      <protection hidden="1"/>
    </xf>
    <xf numFmtId="164" fontId="6" fillId="0" borderId="80" xfId="1" applyNumberFormat="1" applyFont="1" applyBorder="1" applyAlignment="1" applyProtection="1">
      <alignment horizontal="center" vertical="top"/>
      <protection hidden="1"/>
    </xf>
    <xf numFmtId="164" fontId="6" fillId="0" borderId="81" xfId="1" applyNumberFormat="1" applyFont="1" applyBorder="1" applyAlignment="1" applyProtection="1">
      <alignment horizontal="center" vertical="top"/>
      <protection hidden="1"/>
    </xf>
    <xf numFmtId="0" fontId="6" fillId="0" borderId="5" xfId="1" applyNumberFormat="1" applyFont="1" applyBorder="1" applyAlignment="1" applyProtection="1">
      <alignment horizontal="center" vertical="center"/>
      <protection hidden="1"/>
    </xf>
    <xf numFmtId="0" fontId="6" fillId="0" borderId="9" xfId="1" applyNumberFormat="1" applyFont="1" applyBorder="1" applyAlignment="1" applyProtection="1">
      <alignment horizontal="center" vertical="center"/>
      <protection hidden="1"/>
    </xf>
    <xf numFmtId="0" fontId="6" fillId="0" borderId="16" xfId="1" applyNumberFormat="1" applyFont="1" applyBorder="1" applyAlignment="1" applyProtection="1">
      <alignment horizontal="center" vertical="center"/>
      <protection hidden="1"/>
    </xf>
    <xf numFmtId="0" fontId="48" fillId="0" borderId="0" xfId="0" applyFont="1" applyAlignment="1">
      <alignment vertical="center" wrapText="1"/>
    </xf>
    <xf numFmtId="165" fontId="6" fillId="0" borderId="0" xfId="1" applyNumberFormat="1" applyFont="1" applyBorder="1" applyAlignment="1" applyProtection="1">
      <alignment horizontal="center" vertical="center"/>
      <protection hidden="1"/>
    </xf>
    <xf numFmtId="165" fontId="6" fillId="0" borderId="15" xfId="1" applyNumberFormat="1" applyFont="1" applyBorder="1" applyAlignment="1" applyProtection="1">
      <alignment horizontal="center" vertical="center"/>
      <protection hidden="1"/>
    </xf>
    <xf numFmtId="165" fontId="0" fillId="0" borderId="18" xfId="0" applyNumberFormat="1" applyBorder="1" applyAlignment="1" applyProtection="1">
      <alignment horizontal="center" vertical="center"/>
      <protection hidden="1"/>
    </xf>
    <xf numFmtId="165" fontId="6" fillId="0" borderId="17" xfId="1" applyNumberFormat="1" applyFont="1" applyBorder="1" applyAlignment="1" applyProtection="1">
      <alignment horizontal="center" vertical="center"/>
      <protection hidden="1"/>
    </xf>
    <xf numFmtId="165" fontId="0" fillId="0" borderId="10" xfId="0" applyNumberFormat="1" applyBorder="1" applyAlignment="1" applyProtection="1">
      <alignment horizontal="center" vertical="center"/>
      <protection hidden="1"/>
    </xf>
    <xf numFmtId="165" fontId="0" fillId="0" borderId="0" xfId="0" applyNumberFormat="1" applyAlignment="1" applyProtection="1">
      <alignment horizontal="center" vertical="center"/>
      <protection hidden="1"/>
    </xf>
    <xf numFmtId="0" fontId="32" fillId="0" borderId="0" xfId="0" applyFont="1" applyAlignment="1" applyProtection="1">
      <alignment horizontal="right" vertical="center"/>
      <protection hidden="1"/>
    </xf>
    <xf numFmtId="0" fontId="30" fillId="0" borderId="0" xfId="0" applyFont="1" applyAlignment="1" applyProtection="1">
      <alignment horizontal="right" vertical="top"/>
      <protection hidden="1"/>
    </xf>
    <xf numFmtId="0" fontId="44" fillId="0" borderId="0" xfId="0" applyFont="1" applyAlignment="1" applyProtection="1">
      <alignment horizontal="right" vertical="top"/>
      <protection hidden="1"/>
    </xf>
    <xf numFmtId="167" fontId="39" fillId="0" borderId="0" xfId="0" applyNumberFormat="1" applyFont="1" applyAlignment="1" applyProtection="1">
      <alignment horizontal="right" vertical="center"/>
      <protection hidden="1"/>
    </xf>
    <xf numFmtId="0" fontId="0" fillId="0" borderId="61" xfId="0" applyBorder="1" applyProtection="1">
      <protection hidden="1"/>
    </xf>
    <xf numFmtId="0" fontId="0" fillId="0" borderId="61" xfId="0" applyBorder="1"/>
    <xf numFmtId="0" fontId="0" fillId="0" borderId="57" xfId="0" applyBorder="1" applyProtection="1">
      <protection hidden="1"/>
    </xf>
    <xf numFmtId="0" fontId="0" fillId="0" borderId="56" xfId="0" applyBorder="1" applyProtection="1">
      <protection hidden="1"/>
    </xf>
    <xf numFmtId="0" fontId="0" fillId="0" borderId="57" xfId="0" applyBorder="1"/>
    <xf numFmtId="0" fontId="2" fillId="0" borderId="45" xfId="0" applyFont="1" applyBorder="1" applyProtection="1">
      <protection hidden="1"/>
    </xf>
    <xf numFmtId="0" fontId="2" fillId="0" borderId="12" xfId="0" applyFont="1" applyBorder="1" applyProtection="1">
      <protection hidden="1"/>
    </xf>
    <xf numFmtId="0" fontId="2" fillId="0" borderId="57" xfId="0" applyFont="1" applyBorder="1" applyProtection="1">
      <protection hidden="1"/>
    </xf>
    <xf numFmtId="0" fontId="2" fillId="0" borderId="56" xfId="0" applyFont="1" applyBorder="1" applyProtection="1">
      <protection hidden="1"/>
    </xf>
    <xf numFmtId="0" fontId="2" fillId="0" borderId="57" xfId="0" applyFont="1" applyBorder="1" applyAlignment="1" applyProtection="1">
      <alignment horizontal="left"/>
      <protection hidden="1"/>
    </xf>
    <xf numFmtId="0" fontId="0" fillId="0" borderId="82" xfId="0" applyBorder="1" applyProtection="1">
      <protection hidden="1"/>
    </xf>
    <xf numFmtId="0" fontId="0" fillId="0" borderId="83" xfId="0" applyBorder="1" applyProtection="1">
      <protection hidden="1"/>
    </xf>
    <xf numFmtId="0" fontId="30" fillId="0" borderId="84" xfId="0" applyFont="1" applyBorder="1" applyProtection="1">
      <protection hidden="1"/>
    </xf>
    <xf numFmtId="0" fontId="30" fillId="0" borderId="85" xfId="0" applyFont="1" applyBorder="1" applyProtection="1">
      <protection hidden="1"/>
    </xf>
    <xf numFmtId="6" fontId="0" fillId="0" borderId="0" xfId="0" applyNumberFormat="1" applyProtection="1">
      <protection hidden="1"/>
    </xf>
    <xf numFmtId="0" fontId="5" fillId="2" borderId="68" xfId="2" applyFont="1" applyFill="1" applyBorder="1" applyAlignment="1" applyProtection="1">
      <alignment horizontal="center"/>
      <protection hidden="1"/>
    </xf>
    <xf numFmtId="0" fontId="5" fillId="2" borderId="55" xfId="2" applyFont="1" applyFill="1" applyBorder="1" applyAlignment="1" applyProtection="1">
      <alignment horizontal="center"/>
      <protection hidden="1"/>
    </xf>
    <xf numFmtId="0" fontId="5" fillId="2" borderId="67" xfId="2" applyFont="1" applyFill="1" applyBorder="1" applyAlignment="1" applyProtection="1">
      <alignment horizontal="center"/>
      <protection hidden="1"/>
    </xf>
    <xf numFmtId="0" fontId="0" fillId="9" borderId="61" xfId="0" applyFill="1" applyBorder="1" applyProtection="1">
      <protection hidden="1"/>
    </xf>
    <xf numFmtId="0" fontId="0" fillId="9" borderId="61" xfId="0" applyFill="1" applyBorder="1"/>
    <xf numFmtId="0" fontId="0" fillId="19" borderId="61" xfId="0" applyFill="1" applyBorder="1"/>
    <xf numFmtId="0" fontId="0" fillId="9" borderId="74" xfId="0" applyFill="1" applyBorder="1"/>
    <xf numFmtId="0" fontId="0" fillId="0" borderId="74" xfId="0" applyBorder="1"/>
    <xf numFmtId="0" fontId="0" fillId="0" borderId="88" xfId="0" applyBorder="1"/>
    <xf numFmtId="0" fontId="0" fillId="0" borderId="70" xfId="0" applyBorder="1" applyProtection="1">
      <protection hidden="1"/>
    </xf>
    <xf numFmtId="0" fontId="0" fillId="9" borderId="59" xfId="0" applyFill="1" applyBorder="1" applyProtection="1">
      <protection hidden="1"/>
    </xf>
    <xf numFmtId="0" fontId="0" fillId="0" borderId="52" xfId="0" applyBorder="1" applyProtection="1">
      <protection hidden="1"/>
    </xf>
    <xf numFmtId="0" fontId="0" fillId="0" borderId="74" xfId="0" applyBorder="1" applyProtection="1">
      <protection hidden="1"/>
    </xf>
    <xf numFmtId="0" fontId="0" fillId="9" borderId="74" xfId="0" applyFill="1" applyBorder="1" applyProtection="1">
      <protection hidden="1"/>
    </xf>
    <xf numFmtId="0" fontId="0" fillId="19" borderId="74" xfId="0" applyFill="1" applyBorder="1"/>
    <xf numFmtId="0" fontId="0" fillId="0" borderId="59" xfId="0" applyBorder="1" applyProtection="1">
      <protection hidden="1"/>
    </xf>
    <xf numFmtId="0" fontId="2" fillId="0" borderId="88" xfId="0" applyFont="1" applyBorder="1" applyProtection="1">
      <protection hidden="1"/>
    </xf>
    <xf numFmtId="0" fontId="2" fillId="0" borderId="74" xfId="0" applyFont="1" applyBorder="1" applyProtection="1">
      <protection hidden="1"/>
    </xf>
    <xf numFmtId="0" fontId="56" fillId="0" borderId="0" xfId="0" applyFont="1" applyProtection="1">
      <protection hidden="1"/>
    </xf>
    <xf numFmtId="0" fontId="56" fillId="0" borderId="0" xfId="0" applyFont="1"/>
    <xf numFmtId="0" fontId="46" fillId="0" borderId="0" xfId="2" applyFont="1" applyAlignment="1" applyProtection="1">
      <alignment vertical="center"/>
      <protection hidden="1"/>
    </xf>
    <xf numFmtId="0" fontId="65" fillId="8" borderId="54" xfId="0" applyFont="1" applyFill="1" applyBorder="1" applyAlignment="1" applyProtection="1">
      <alignment horizontal="center" vertical="top"/>
      <protection locked="0" hidden="1"/>
    </xf>
    <xf numFmtId="171" fontId="65" fillId="8" borderId="54" xfId="0" applyNumberFormat="1" applyFont="1" applyFill="1" applyBorder="1" applyAlignment="1" applyProtection="1">
      <alignment horizontal="center" vertical="top"/>
      <protection locked="0" hidden="1"/>
    </xf>
    <xf numFmtId="0" fontId="65" fillId="8" borderId="79" xfId="0" applyFont="1" applyFill="1" applyBorder="1" applyAlignment="1" applyProtection="1">
      <alignment horizontal="center" vertical="top"/>
      <protection locked="0" hidden="1"/>
    </xf>
    <xf numFmtId="0" fontId="65" fillId="8" borderId="87" xfId="0" applyFont="1" applyFill="1" applyBorder="1" applyAlignment="1" applyProtection="1">
      <alignment horizontal="center" vertical="top"/>
      <protection hidden="1"/>
    </xf>
    <xf numFmtId="164" fontId="58" fillId="0" borderId="60" xfId="1" applyNumberFormat="1" applyFont="1" applyFill="1" applyBorder="1" applyAlignment="1" applyProtection="1">
      <alignment horizontal="center" vertical="center"/>
      <protection hidden="1"/>
    </xf>
    <xf numFmtId="0" fontId="47" fillId="0" borderId="0" xfId="0" quotePrefix="1" applyFont="1" applyAlignment="1" applyProtection="1">
      <alignment vertical="center" wrapText="1"/>
      <protection hidden="1"/>
    </xf>
    <xf numFmtId="0" fontId="0" fillId="14" borderId="15" xfId="0" applyFill="1" applyBorder="1"/>
    <xf numFmtId="0" fontId="0" fillId="14" borderId="18" xfId="0" applyFill="1" applyBorder="1"/>
    <xf numFmtId="0" fontId="56" fillId="0" borderId="0" xfId="0" applyFont="1" applyAlignment="1" applyProtection="1">
      <alignment horizontal="right"/>
      <protection hidden="1"/>
    </xf>
    <xf numFmtId="0" fontId="70" fillId="0" borderId="0" xfId="0" applyFont="1" applyAlignment="1" applyProtection="1">
      <alignment horizontal="right" vertical="center"/>
      <protection hidden="1"/>
    </xf>
    <xf numFmtId="164" fontId="62" fillId="16" borderId="21" xfId="1" applyNumberFormat="1" applyFont="1" applyFill="1" applyBorder="1" applyAlignment="1" applyProtection="1">
      <alignment horizontal="center" vertical="center"/>
      <protection hidden="1"/>
    </xf>
    <xf numFmtId="164" fontId="62" fillId="16" borderId="86" xfId="1" applyNumberFormat="1" applyFont="1" applyFill="1" applyBorder="1" applyAlignment="1" applyProtection="1">
      <alignment horizontal="center" vertical="center"/>
      <protection hidden="1"/>
    </xf>
    <xf numFmtId="164" fontId="53" fillId="16" borderId="0" xfId="1" applyNumberFormat="1" applyFont="1" applyFill="1" applyBorder="1" applyAlignment="1" applyProtection="1">
      <alignment horizontal="center" vertical="center"/>
      <protection hidden="1"/>
    </xf>
    <xf numFmtId="0" fontId="59" fillId="4" borderId="17" xfId="0" applyFont="1" applyFill="1" applyBorder="1" applyAlignment="1" applyProtection="1">
      <alignment horizontal="center" vertical="top"/>
      <protection hidden="1"/>
    </xf>
    <xf numFmtId="164" fontId="53" fillId="16" borderId="15" xfId="1" applyNumberFormat="1" applyFont="1" applyFill="1" applyBorder="1" applyAlignment="1" applyProtection="1">
      <alignment horizontal="center" vertical="center"/>
      <protection hidden="1"/>
    </xf>
    <xf numFmtId="0" fontId="36" fillId="6" borderId="0" xfId="2" applyFont="1" applyFill="1" applyAlignment="1" applyProtection="1">
      <alignment vertical="center"/>
      <protection hidden="1"/>
    </xf>
    <xf numFmtId="0" fontId="71" fillId="6" borderId="0" xfId="2" applyFont="1" applyFill="1" applyAlignment="1" applyProtection="1">
      <alignment horizontal="right" vertical="center"/>
      <protection hidden="1"/>
    </xf>
    <xf numFmtId="0" fontId="58" fillId="0" borderId="0" xfId="0" applyFont="1" applyAlignment="1" applyProtection="1">
      <alignment horizontal="right"/>
      <protection hidden="1"/>
    </xf>
    <xf numFmtId="0" fontId="16" fillId="14" borderId="16" xfId="0" applyFont="1" applyFill="1" applyBorder="1" applyAlignment="1" applyProtection="1">
      <alignment vertical="center"/>
      <protection hidden="1"/>
    </xf>
    <xf numFmtId="0" fontId="37" fillId="14" borderId="15" xfId="0" applyFont="1" applyFill="1" applyBorder="1" applyAlignment="1" applyProtection="1">
      <alignment vertical="center"/>
      <protection hidden="1"/>
    </xf>
    <xf numFmtId="0" fontId="16" fillId="14" borderId="15" xfId="0" applyFont="1" applyFill="1" applyBorder="1" applyAlignment="1" applyProtection="1">
      <alignment vertical="center"/>
      <protection hidden="1"/>
    </xf>
    <xf numFmtId="0" fontId="2" fillId="14" borderId="18" xfId="0" applyFont="1" applyFill="1" applyBorder="1" applyProtection="1">
      <protection hidden="1"/>
    </xf>
    <xf numFmtId="0" fontId="4" fillId="14" borderId="16" xfId="0" quotePrefix="1" applyFont="1" applyFill="1" applyBorder="1" applyAlignment="1" applyProtection="1">
      <alignment vertical="center" wrapText="1"/>
      <protection hidden="1"/>
    </xf>
    <xf numFmtId="0" fontId="4" fillId="14" borderId="15" xfId="0" quotePrefix="1" applyFont="1" applyFill="1" applyBorder="1" applyAlignment="1" applyProtection="1">
      <alignment vertical="center" wrapText="1"/>
      <protection hidden="1"/>
    </xf>
    <xf numFmtId="0" fontId="4" fillId="14" borderId="18" xfId="0" quotePrefix="1" applyFont="1" applyFill="1" applyBorder="1" applyAlignment="1" applyProtection="1">
      <alignment vertical="center" wrapText="1"/>
      <protection hidden="1"/>
    </xf>
    <xf numFmtId="166" fontId="58" fillId="0" borderId="60" xfId="0" applyNumberFormat="1" applyFont="1" applyBorder="1" applyAlignment="1" applyProtection="1">
      <alignment horizontal="center" vertical="top"/>
      <protection hidden="1"/>
    </xf>
    <xf numFmtId="0" fontId="0" fillId="0" borderId="52" xfId="0" applyBorder="1" applyAlignment="1">
      <alignment horizontal="center"/>
    </xf>
    <xf numFmtId="165" fontId="2" fillId="0" borderId="0" xfId="0" applyNumberFormat="1" applyFont="1"/>
    <xf numFmtId="165" fontId="52" fillId="14" borderId="63" xfId="0" applyNumberFormat="1" applyFont="1" applyFill="1" applyBorder="1" applyAlignment="1" applyProtection="1">
      <alignment horizontal="center" vertical="center"/>
      <protection hidden="1"/>
    </xf>
    <xf numFmtId="165" fontId="60" fillId="7" borderId="60" xfId="0" quotePrefix="1" applyNumberFormat="1" applyFont="1" applyFill="1" applyBorder="1" applyAlignment="1" applyProtection="1">
      <alignment horizontal="center" vertical="center"/>
      <protection locked="0"/>
    </xf>
    <xf numFmtId="172" fontId="72" fillId="7" borderId="60" xfId="0" applyNumberFormat="1" applyFont="1" applyFill="1" applyBorder="1" applyAlignment="1" applyProtection="1">
      <alignment horizontal="center" vertical="center"/>
      <protection hidden="1"/>
    </xf>
    <xf numFmtId="172" fontId="72" fillId="7" borderId="60" xfId="0" applyNumberFormat="1" applyFont="1" applyFill="1" applyBorder="1" applyAlignment="1" applyProtection="1">
      <alignment horizontal="center" vertical="center"/>
      <protection locked="0"/>
    </xf>
    <xf numFmtId="164" fontId="72" fillId="7" borderId="60" xfId="0" applyNumberFormat="1" applyFont="1" applyFill="1" applyBorder="1" applyAlignment="1" applyProtection="1">
      <alignment horizontal="center" vertical="center"/>
      <protection hidden="1"/>
    </xf>
    <xf numFmtId="165" fontId="58" fillId="0" borderId="60" xfId="0" applyNumberFormat="1" applyFont="1" applyBorder="1" applyAlignment="1" applyProtection="1">
      <alignment horizontal="center" vertical="top"/>
      <protection hidden="1"/>
    </xf>
    <xf numFmtId="165" fontId="58" fillId="0" borderId="56" xfId="0" applyNumberFormat="1" applyFont="1" applyBorder="1" applyAlignment="1" applyProtection="1">
      <alignment horizontal="center" vertical="top"/>
      <protection hidden="1"/>
    </xf>
    <xf numFmtId="166" fontId="58" fillId="0" borderId="56" xfId="0" applyNumberFormat="1" applyFont="1" applyBorder="1" applyAlignment="1" applyProtection="1">
      <alignment horizontal="center" vertical="top"/>
      <protection hidden="1"/>
    </xf>
    <xf numFmtId="0" fontId="58" fillId="18" borderId="60" xfId="0" applyFont="1" applyFill="1" applyBorder="1" applyAlignment="1" applyProtection="1">
      <alignment horizontal="center" vertical="center"/>
      <protection hidden="1"/>
    </xf>
    <xf numFmtId="0" fontId="56" fillId="16" borderId="17" xfId="0" applyFont="1" applyFill="1" applyBorder="1" applyProtection="1">
      <protection hidden="1"/>
    </xf>
    <xf numFmtId="166" fontId="58" fillId="0" borderId="63" xfId="0" applyNumberFormat="1" applyFont="1" applyBorder="1" applyAlignment="1" applyProtection="1">
      <alignment horizontal="center" vertical="top"/>
      <protection hidden="1"/>
    </xf>
    <xf numFmtId="164" fontId="62" fillId="16" borderId="70" xfId="1" applyNumberFormat="1" applyFont="1" applyFill="1" applyBorder="1" applyAlignment="1" applyProtection="1">
      <alignment horizontal="center" vertical="center"/>
      <protection hidden="1"/>
    </xf>
    <xf numFmtId="164" fontId="76" fillId="16" borderId="86" xfId="1" applyNumberFormat="1" applyFont="1" applyFill="1" applyBorder="1" applyAlignment="1" applyProtection="1">
      <alignment horizontal="center" vertical="center"/>
      <protection hidden="1"/>
    </xf>
    <xf numFmtId="164" fontId="62" fillId="16" borderId="72" xfId="1" applyNumberFormat="1" applyFont="1" applyFill="1" applyBorder="1" applyAlignment="1" applyProtection="1">
      <alignment horizontal="center" vertical="center"/>
      <protection hidden="1"/>
    </xf>
    <xf numFmtId="0" fontId="56" fillId="14" borderId="0" xfId="0" applyFont="1" applyFill="1"/>
    <xf numFmtId="0" fontId="56" fillId="14" borderId="0" xfId="0" applyFont="1" applyFill="1" applyProtection="1">
      <protection hidden="1"/>
    </xf>
    <xf numFmtId="0" fontId="77" fillId="0" borderId="0" xfId="0" applyFont="1" applyAlignment="1" applyProtection="1">
      <alignment vertical="center" wrapText="1"/>
      <protection hidden="1"/>
    </xf>
    <xf numFmtId="0" fontId="78" fillId="0" borderId="0" xfId="2" applyFont="1" applyProtection="1">
      <protection hidden="1"/>
    </xf>
    <xf numFmtId="0" fontId="75" fillId="0" borderId="0" xfId="5" applyFont="1" applyFill="1" applyBorder="1" applyAlignment="1">
      <alignment horizontal="center" vertical="center"/>
    </xf>
    <xf numFmtId="164" fontId="62" fillId="14" borderId="72" xfId="1" applyNumberFormat="1" applyFont="1" applyFill="1" applyBorder="1" applyAlignment="1" applyProtection="1">
      <alignment horizontal="center" vertical="center"/>
      <protection hidden="1"/>
    </xf>
    <xf numFmtId="164" fontId="63" fillId="14" borderId="60" xfId="1" applyNumberFormat="1" applyFont="1" applyFill="1" applyBorder="1" applyAlignment="1" applyProtection="1">
      <alignment horizontal="center" vertical="center"/>
      <protection hidden="1"/>
    </xf>
    <xf numFmtId="0" fontId="58" fillId="16" borderId="15" xfId="0" applyFont="1" applyFill="1" applyBorder="1" applyProtection="1">
      <protection hidden="1"/>
    </xf>
    <xf numFmtId="164" fontId="80" fillId="16" borderId="76" xfId="1" applyNumberFormat="1" applyFont="1" applyFill="1" applyBorder="1" applyAlignment="1" applyProtection="1">
      <alignment horizontal="center" vertical="center"/>
      <protection hidden="1"/>
    </xf>
    <xf numFmtId="164" fontId="80" fillId="16" borderId="75" xfId="1" applyNumberFormat="1" applyFont="1" applyFill="1" applyBorder="1" applyAlignment="1" applyProtection="1">
      <alignment horizontal="center" vertical="center"/>
      <protection hidden="1"/>
    </xf>
    <xf numFmtId="165" fontId="74" fillId="17" borderId="3" xfId="0" applyNumberFormat="1" applyFont="1" applyFill="1" applyBorder="1" applyAlignment="1" applyProtection="1">
      <alignment horizontal="center" vertical="center"/>
      <protection hidden="1"/>
    </xf>
    <xf numFmtId="165" fontId="72" fillId="0" borderId="11" xfId="0" applyNumberFormat="1" applyFont="1" applyBorder="1" applyAlignment="1" applyProtection="1">
      <alignment horizontal="center" vertical="center"/>
      <protection hidden="1"/>
    </xf>
    <xf numFmtId="165" fontId="60" fillId="0" borderId="60" xfId="0" applyNumberFormat="1" applyFont="1" applyBorder="1" applyAlignment="1" applyProtection="1">
      <alignment horizontal="center" vertical="center"/>
      <protection hidden="1"/>
    </xf>
    <xf numFmtId="165" fontId="72" fillId="0" borderId="60" xfId="0" applyNumberFormat="1" applyFont="1" applyBorder="1" applyAlignment="1" applyProtection="1">
      <alignment horizontal="center" vertical="center"/>
      <protection hidden="1"/>
    </xf>
    <xf numFmtId="0" fontId="82" fillId="0" borderId="0" xfId="0" applyFont="1" applyAlignment="1" applyProtection="1">
      <alignment horizontal="right" vertical="center"/>
      <protection hidden="1"/>
    </xf>
    <xf numFmtId="0" fontId="57" fillId="0" borderId="0" xfId="0" applyFont="1" applyAlignment="1" applyProtection="1">
      <alignment horizontal="right" vertical="top"/>
      <protection hidden="1"/>
    </xf>
    <xf numFmtId="0" fontId="69" fillId="0" borderId="0" xfId="0" applyFont="1" applyAlignment="1" applyProtection="1">
      <alignment horizontal="right" vertical="top"/>
      <protection hidden="1"/>
    </xf>
    <xf numFmtId="167" fontId="83" fillId="0" borderId="0" xfId="0" applyNumberFormat="1" applyFont="1" applyAlignment="1" applyProtection="1">
      <alignment horizontal="right" vertical="center"/>
      <protection hidden="1"/>
    </xf>
    <xf numFmtId="0" fontId="61" fillId="0" borderId="0" xfId="2" applyFont="1" applyAlignment="1" applyProtection="1">
      <alignment vertical="center"/>
      <protection hidden="1"/>
    </xf>
    <xf numFmtId="166" fontId="58" fillId="0" borderId="83" xfId="0" applyNumberFormat="1" applyFont="1" applyBorder="1" applyAlignment="1" applyProtection="1">
      <alignment horizontal="center" vertical="top"/>
      <protection hidden="1"/>
    </xf>
    <xf numFmtId="0" fontId="56" fillId="14" borderId="17" xfId="0" applyFont="1" applyFill="1" applyBorder="1"/>
    <xf numFmtId="0" fontId="56" fillId="14" borderId="7" xfId="0" applyFont="1" applyFill="1" applyBorder="1"/>
    <xf numFmtId="0" fontId="56" fillId="14" borderId="10" xfId="0" applyFont="1" applyFill="1" applyBorder="1"/>
    <xf numFmtId="0" fontId="61" fillId="14" borderId="10" xfId="2" applyFont="1" applyFill="1" applyBorder="1" applyAlignment="1" applyProtection="1">
      <alignment vertical="center"/>
      <protection hidden="1"/>
    </xf>
    <xf numFmtId="167" fontId="83" fillId="0" borderId="0" xfId="0" applyNumberFormat="1" applyFont="1" applyAlignment="1" applyProtection="1">
      <alignment horizontal="center" vertical="center"/>
      <protection hidden="1"/>
    </xf>
    <xf numFmtId="0" fontId="59" fillId="4" borderId="0" xfId="0" applyFont="1" applyFill="1" applyAlignment="1" applyProtection="1">
      <alignment horizontal="center" vertical="top"/>
      <protection hidden="1"/>
    </xf>
    <xf numFmtId="0" fontId="56" fillId="16" borderId="0" xfId="0" applyFont="1" applyFill="1" applyProtection="1">
      <protection hidden="1"/>
    </xf>
    <xf numFmtId="0" fontId="56" fillId="16" borderId="15" xfId="0" applyFont="1" applyFill="1" applyBorder="1" applyProtection="1">
      <protection hidden="1"/>
    </xf>
    <xf numFmtId="0" fontId="58" fillId="16" borderId="0" xfId="0" applyFont="1" applyFill="1" applyProtection="1">
      <protection hidden="1"/>
    </xf>
    <xf numFmtId="0" fontId="56" fillId="14" borderId="10" xfId="0" applyFont="1" applyFill="1" applyBorder="1" applyProtection="1">
      <protection hidden="1"/>
    </xf>
    <xf numFmtId="0" fontId="77" fillId="14" borderId="10" xfId="0" applyFont="1" applyFill="1" applyBorder="1" applyAlignment="1" applyProtection="1">
      <alignment vertical="center" wrapText="1"/>
      <protection hidden="1"/>
    </xf>
    <xf numFmtId="0" fontId="56" fillId="14" borderId="18" xfId="0" applyFont="1" applyFill="1" applyBorder="1" applyProtection="1">
      <protection hidden="1"/>
    </xf>
    <xf numFmtId="164" fontId="9" fillId="14" borderId="5" xfId="1" applyNumberFormat="1" applyFont="1" applyFill="1" applyBorder="1" applyAlignment="1" applyProtection="1">
      <alignment horizontal="center" vertical="center"/>
      <protection hidden="1"/>
    </xf>
    <xf numFmtId="164" fontId="9" fillId="14" borderId="17" xfId="1" applyNumberFormat="1" applyFont="1" applyFill="1" applyBorder="1" applyAlignment="1" applyProtection="1">
      <alignment horizontal="center" vertical="center"/>
      <protection hidden="1"/>
    </xf>
    <xf numFmtId="0" fontId="56" fillId="14" borderId="15" xfId="0" applyFont="1" applyFill="1" applyBorder="1" applyProtection="1">
      <protection hidden="1"/>
    </xf>
    <xf numFmtId="0" fontId="56" fillId="14" borderId="15" xfId="0" applyFont="1" applyFill="1" applyBorder="1"/>
    <xf numFmtId="164" fontId="9" fillId="14" borderId="7" xfId="1" applyNumberFormat="1" applyFont="1" applyFill="1" applyBorder="1" applyAlignment="1" applyProtection="1">
      <alignment horizontal="center" vertical="center"/>
      <protection hidden="1"/>
    </xf>
    <xf numFmtId="0" fontId="47" fillId="14" borderId="49" xfId="0" quotePrefix="1" applyFont="1" applyFill="1" applyBorder="1" applyAlignment="1" applyProtection="1">
      <alignment vertical="center" wrapText="1"/>
      <protection hidden="1"/>
    </xf>
    <xf numFmtId="167" fontId="31" fillId="14" borderId="15" xfId="0" applyNumberFormat="1" applyFont="1" applyFill="1" applyBorder="1" applyAlignment="1" applyProtection="1">
      <alignment vertical="top"/>
      <protection hidden="1"/>
    </xf>
    <xf numFmtId="0" fontId="72" fillId="17" borderId="0" xfId="0" applyFont="1" applyFill="1" applyAlignment="1" applyProtection="1">
      <alignment vertical="top"/>
      <protection hidden="1"/>
    </xf>
    <xf numFmtId="0" fontId="13" fillId="14" borderId="15" xfId="0" applyFont="1" applyFill="1" applyBorder="1" applyAlignment="1" applyProtection="1">
      <alignment vertical="top"/>
      <protection hidden="1"/>
    </xf>
    <xf numFmtId="0" fontId="8" fillId="14" borderId="15" xfId="0" applyFont="1" applyFill="1" applyBorder="1" applyAlignment="1" applyProtection="1">
      <alignment vertical="top"/>
      <protection hidden="1"/>
    </xf>
    <xf numFmtId="0" fontId="8" fillId="14" borderId="15" xfId="0" applyFont="1" applyFill="1" applyBorder="1" applyAlignment="1" applyProtection="1">
      <alignment horizontal="center" vertical="top"/>
      <protection hidden="1"/>
    </xf>
    <xf numFmtId="0" fontId="51" fillId="14" borderId="15" xfId="0" applyFont="1" applyFill="1" applyBorder="1" applyAlignment="1" applyProtection="1">
      <alignment vertical="center"/>
      <protection hidden="1"/>
    </xf>
    <xf numFmtId="0" fontId="45" fillId="14" borderId="15" xfId="0" applyFont="1" applyFill="1" applyBorder="1" applyAlignment="1" applyProtection="1">
      <alignment vertical="center"/>
      <protection hidden="1"/>
    </xf>
    <xf numFmtId="0" fontId="33" fillId="14" borderId="15" xfId="0" applyFont="1" applyFill="1" applyBorder="1" applyAlignment="1" applyProtection="1">
      <alignment vertical="center" wrapText="1"/>
      <protection hidden="1"/>
    </xf>
    <xf numFmtId="0" fontId="44" fillId="14" borderId="15" xfId="0" applyFont="1" applyFill="1" applyBorder="1" applyAlignment="1" applyProtection="1">
      <alignment vertical="top"/>
      <protection hidden="1"/>
    </xf>
    <xf numFmtId="0" fontId="34" fillId="14" borderId="15" xfId="0" applyFont="1" applyFill="1" applyBorder="1" applyAlignment="1" applyProtection="1">
      <alignment vertical="center"/>
      <protection hidden="1"/>
    </xf>
    <xf numFmtId="0" fontId="45" fillId="14" borderId="18" xfId="0" applyFont="1" applyFill="1" applyBorder="1" applyAlignment="1" applyProtection="1">
      <alignment vertical="center"/>
      <protection hidden="1"/>
    </xf>
    <xf numFmtId="0" fontId="77" fillId="17" borderId="15" xfId="0" applyFont="1" applyFill="1" applyBorder="1" applyAlignment="1" applyProtection="1">
      <alignment vertical="top"/>
      <protection hidden="1"/>
    </xf>
    <xf numFmtId="0" fontId="88" fillId="17" borderId="15" xfId="0" applyFont="1" applyFill="1" applyBorder="1" applyAlignment="1" applyProtection="1">
      <alignment vertical="center"/>
      <protection hidden="1"/>
    </xf>
    <xf numFmtId="0" fontId="84" fillId="17" borderId="15" xfId="0" applyFont="1" applyFill="1" applyBorder="1" applyAlignment="1" applyProtection="1">
      <alignment vertical="center"/>
      <protection hidden="1"/>
    </xf>
    <xf numFmtId="0" fontId="85" fillId="17" borderId="15" xfId="0" applyFont="1" applyFill="1" applyBorder="1" applyAlignment="1" applyProtection="1">
      <alignment vertical="center" wrapText="1"/>
      <protection hidden="1"/>
    </xf>
    <xf numFmtId="0" fontId="85" fillId="17" borderId="89" xfId="0" applyFont="1" applyFill="1" applyBorder="1" applyAlignment="1" applyProtection="1">
      <alignment vertical="center" wrapText="1"/>
      <protection hidden="1"/>
    </xf>
    <xf numFmtId="0" fontId="69" fillId="17" borderId="15" xfId="0" applyFont="1" applyFill="1" applyBorder="1" applyAlignment="1" applyProtection="1">
      <alignment vertical="top"/>
      <protection hidden="1"/>
    </xf>
    <xf numFmtId="0" fontId="86" fillId="17" borderId="15" xfId="0" applyFont="1" applyFill="1" applyBorder="1" applyAlignment="1" applyProtection="1">
      <alignment vertical="center"/>
      <protection hidden="1"/>
    </xf>
    <xf numFmtId="0" fontId="84" fillId="17" borderId="89" xfId="0" applyFont="1" applyFill="1" applyBorder="1" applyAlignment="1" applyProtection="1">
      <alignment vertical="center"/>
      <protection hidden="1"/>
    </xf>
    <xf numFmtId="0" fontId="84" fillId="17" borderId="90" xfId="0" applyFont="1" applyFill="1" applyBorder="1" applyAlignment="1" applyProtection="1">
      <alignment vertical="center"/>
      <protection hidden="1"/>
    </xf>
    <xf numFmtId="0" fontId="64" fillId="15" borderId="16" xfId="0" applyFont="1" applyFill="1" applyBorder="1" applyAlignment="1" applyProtection="1">
      <alignment vertical="center"/>
      <protection hidden="1"/>
    </xf>
    <xf numFmtId="0" fontId="87" fillId="15" borderId="15" xfId="0" applyFont="1" applyFill="1" applyBorder="1" applyAlignment="1" applyProtection="1">
      <alignment vertical="center"/>
      <protection hidden="1"/>
    </xf>
    <xf numFmtId="0" fontId="64" fillId="15" borderId="89" xfId="0" applyFont="1" applyFill="1" applyBorder="1" applyAlignment="1" applyProtection="1">
      <alignment vertical="center"/>
      <protection hidden="1"/>
    </xf>
    <xf numFmtId="0" fontId="56" fillId="15" borderId="88" xfId="0" applyFont="1" applyFill="1" applyBorder="1" applyProtection="1">
      <protection hidden="1"/>
    </xf>
    <xf numFmtId="0" fontId="56" fillId="14" borderId="18" xfId="0" applyFont="1" applyFill="1" applyBorder="1"/>
    <xf numFmtId="169" fontId="79" fillId="8" borderId="91" xfId="0" applyNumberFormat="1" applyFont="1" applyFill="1" applyBorder="1" applyAlignment="1" applyProtection="1">
      <alignment horizontal="center" vertical="top"/>
      <protection locked="0" hidden="1"/>
    </xf>
    <xf numFmtId="0" fontId="61" fillId="14" borderId="4" xfId="2" applyFont="1" applyFill="1" applyBorder="1" applyAlignment="1" applyProtection="1">
      <alignment vertical="center"/>
      <protection hidden="1"/>
    </xf>
    <xf numFmtId="0" fontId="0" fillId="0" borderId="60" xfId="0" applyBorder="1"/>
    <xf numFmtId="0" fontId="2" fillId="0" borderId="59" xfId="0" applyFont="1" applyBorder="1" applyProtection="1">
      <protection hidden="1"/>
    </xf>
    <xf numFmtId="0" fontId="90" fillId="5" borderId="0" xfId="0" applyFont="1" applyFill="1" applyProtection="1">
      <protection hidden="1"/>
    </xf>
    <xf numFmtId="0" fontId="91" fillId="5" borderId="0" xfId="0" applyFont="1" applyFill="1" applyAlignment="1" applyProtection="1">
      <alignment horizontal="left"/>
      <protection hidden="1"/>
    </xf>
    <xf numFmtId="0" fontId="92" fillId="5" borderId="0" xfId="0" applyFont="1" applyFill="1" applyProtection="1">
      <protection hidden="1"/>
    </xf>
    <xf numFmtId="165" fontId="2" fillId="0" borderId="6" xfId="0" applyNumberFormat="1" applyFont="1" applyBorder="1" applyAlignment="1">
      <alignment horizontal="center"/>
    </xf>
    <xf numFmtId="0" fontId="50" fillId="5" borderId="0" xfId="0" applyFont="1" applyFill="1" applyProtection="1">
      <protection hidden="1"/>
    </xf>
    <xf numFmtId="0" fontId="93" fillId="20" borderId="2" xfId="0" applyFont="1" applyFill="1" applyBorder="1"/>
    <xf numFmtId="0" fontId="50" fillId="20" borderId="3" xfId="0" applyFont="1" applyFill="1" applyBorder="1" applyAlignment="1" applyProtection="1">
      <alignment horizontal="center"/>
      <protection hidden="1"/>
    </xf>
    <xf numFmtId="0" fontId="62" fillId="15" borderId="15" xfId="0" applyFont="1" applyFill="1" applyBorder="1" applyAlignment="1" applyProtection="1">
      <alignment vertical="center"/>
      <protection hidden="1"/>
    </xf>
    <xf numFmtId="173" fontId="56" fillId="0" borderId="60" xfId="1" applyNumberFormat="1" applyFont="1" applyBorder="1" applyAlignment="1" applyProtection="1">
      <alignment horizontal="center" vertical="center"/>
      <protection hidden="1"/>
    </xf>
    <xf numFmtId="173" fontId="56" fillId="0" borderId="92" xfId="1" applyNumberFormat="1" applyFont="1" applyBorder="1" applyAlignment="1" applyProtection="1">
      <alignment horizontal="center" vertical="center"/>
      <protection hidden="1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wrapText="1"/>
    </xf>
    <xf numFmtId="0" fontId="97" fillId="0" borderId="96" xfId="0" applyFont="1" applyBorder="1" applyAlignment="1">
      <alignment horizontal="left" vertical="top" wrapText="1"/>
    </xf>
    <xf numFmtId="0" fontId="0" fillId="0" borderId="96" xfId="0" applyBorder="1" applyAlignment="1">
      <alignment horizontal="left" wrapText="1"/>
    </xf>
    <xf numFmtId="0" fontId="58" fillId="18" borderId="57" xfId="0" applyFont="1" applyFill="1" applyBorder="1" applyAlignment="1" applyProtection="1">
      <alignment horizontal="center" vertical="center"/>
      <protection hidden="1"/>
    </xf>
    <xf numFmtId="0" fontId="58" fillId="18" borderId="60" xfId="0" applyFont="1" applyFill="1" applyBorder="1" applyAlignment="1" applyProtection="1">
      <alignment horizontal="center" vertical="center"/>
      <protection hidden="1"/>
    </xf>
    <xf numFmtId="0" fontId="73" fillId="7" borderId="17" xfId="0" quotePrefix="1" applyFont="1" applyFill="1" applyBorder="1" applyAlignment="1" applyProtection="1">
      <alignment horizontal="center" vertical="center"/>
      <protection hidden="1"/>
    </xf>
    <xf numFmtId="0" fontId="73" fillId="7" borderId="0" xfId="0" quotePrefix="1" applyFont="1" applyFill="1" applyAlignment="1" applyProtection="1">
      <alignment horizontal="center" vertical="center"/>
      <protection hidden="1"/>
    </xf>
    <xf numFmtId="0" fontId="73" fillId="7" borderId="14" xfId="0" quotePrefix="1" applyFont="1" applyFill="1" applyBorder="1" applyAlignment="1" applyProtection="1">
      <alignment horizontal="center" vertical="center"/>
      <protection hidden="1"/>
    </xf>
    <xf numFmtId="0" fontId="72" fillId="7" borderId="57" xfId="0" quotePrefix="1" applyFont="1" applyFill="1" applyBorder="1" applyAlignment="1" applyProtection="1">
      <alignment horizontal="center" vertical="center"/>
      <protection hidden="1"/>
    </xf>
    <xf numFmtId="0" fontId="72" fillId="7" borderId="60" xfId="0" quotePrefix="1" applyFont="1" applyFill="1" applyBorder="1" applyAlignment="1" applyProtection="1">
      <alignment horizontal="center" vertical="center"/>
      <protection hidden="1"/>
    </xf>
    <xf numFmtId="0" fontId="61" fillId="15" borderId="5" xfId="2" applyFont="1" applyFill="1" applyBorder="1" applyAlignment="1" applyProtection="1">
      <alignment horizontal="center" vertical="center"/>
      <protection hidden="1"/>
    </xf>
    <xf numFmtId="0" fontId="61" fillId="15" borderId="9" xfId="2" applyFont="1" applyFill="1" applyBorder="1" applyAlignment="1" applyProtection="1">
      <alignment horizontal="center" vertical="center"/>
      <protection hidden="1"/>
    </xf>
    <xf numFmtId="0" fontId="61" fillId="15" borderId="16" xfId="2" applyFont="1" applyFill="1" applyBorder="1" applyAlignment="1" applyProtection="1">
      <alignment horizontal="center" vertical="center"/>
      <protection hidden="1"/>
    </xf>
    <xf numFmtId="0" fontId="61" fillId="15" borderId="7" xfId="2" applyFont="1" applyFill="1" applyBorder="1" applyAlignment="1" applyProtection="1">
      <alignment horizontal="center" vertical="center"/>
      <protection hidden="1"/>
    </xf>
    <xf numFmtId="0" fontId="61" fillId="15" borderId="10" xfId="2" applyFont="1" applyFill="1" applyBorder="1" applyAlignment="1" applyProtection="1">
      <alignment horizontal="center" vertical="center"/>
      <protection hidden="1"/>
    </xf>
    <xf numFmtId="0" fontId="61" fillId="15" borderId="18" xfId="2" applyFont="1" applyFill="1" applyBorder="1" applyAlignment="1" applyProtection="1">
      <alignment horizontal="center" vertical="center"/>
      <protection hidden="1"/>
    </xf>
    <xf numFmtId="0" fontId="55" fillId="15" borderId="0" xfId="2" applyFont="1" applyFill="1" applyAlignment="1" applyProtection="1">
      <alignment horizontal="center" vertical="center"/>
      <protection hidden="1"/>
    </xf>
    <xf numFmtId="165" fontId="52" fillId="14" borderId="7" xfId="0" applyNumberFormat="1" applyFont="1" applyFill="1" applyBorder="1" applyAlignment="1" applyProtection="1">
      <alignment horizontal="center" vertical="center"/>
      <protection hidden="1"/>
    </xf>
    <xf numFmtId="165" fontId="52" fillId="14" borderId="18" xfId="0" applyNumberFormat="1" applyFont="1" applyFill="1" applyBorder="1" applyAlignment="1" applyProtection="1">
      <alignment horizontal="center" vertical="center"/>
      <protection hidden="1"/>
    </xf>
    <xf numFmtId="0" fontId="80" fillId="16" borderId="17" xfId="2" quotePrefix="1" applyFont="1" applyFill="1" applyBorder="1" applyAlignment="1" applyProtection="1">
      <alignment horizontal="center"/>
      <protection hidden="1"/>
    </xf>
    <xf numFmtId="0" fontId="80" fillId="16" borderId="15" xfId="2" quotePrefix="1" applyFont="1" applyFill="1" applyBorder="1" applyAlignment="1" applyProtection="1">
      <alignment horizontal="center"/>
      <protection hidden="1"/>
    </xf>
    <xf numFmtId="0" fontId="80" fillId="16" borderId="17" xfId="2" applyFont="1" applyFill="1" applyBorder="1" applyAlignment="1" applyProtection="1">
      <alignment horizontal="center" vertical="center"/>
      <protection hidden="1"/>
    </xf>
    <xf numFmtId="0" fontId="80" fillId="16" borderId="15" xfId="2" applyFont="1" applyFill="1" applyBorder="1" applyAlignment="1" applyProtection="1">
      <alignment horizontal="center" vertical="center"/>
      <protection hidden="1"/>
    </xf>
    <xf numFmtId="0" fontId="60" fillId="17" borderId="57" xfId="0" quotePrefix="1" applyFont="1" applyFill="1" applyBorder="1" applyAlignment="1" applyProtection="1">
      <alignment horizontal="center" vertical="center"/>
      <protection hidden="1"/>
    </xf>
    <xf numFmtId="0" fontId="60" fillId="17" borderId="60" xfId="0" quotePrefix="1" applyFont="1" applyFill="1" applyBorder="1" applyAlignment="1" applyProtection="1">
      <alignment horizontal="center" vertical="center"/>
      <protection hidden="1"/>
    </xf>
    <xf numFmtId="0" fontId="60" fillId="17" borderId="61" xfId="0" quotePrefix="1" applyFont="1" applyFill="1" applyBorder="1" applyAlignment="1" applyProtection="1">
      <alignment horizontal="center" vertical="center"/>
      <protection hidden="1"/>
    </xf>
    <xf numFmtId="0" fontId="60" fillId="17" borderId="57" xfId="0" applyFont="1" applyFill="1" applyBorder="1" applyAlignment="1" applyProtection="1">
      <alignment horizontal="center" vertical="center"/>
      <protection hidden="1"/>
    </xf>
    <xf numFmtId="0" fontId="60" fillId="17" borderId="60" xfId="0" applyFont="1" applyFill="1" applyBorder="1" applyAlignment="1" applyProtection="1">
      <alignment horizontal="center" vertical="center"/>
      <protection hidden="1"/>
    </xf>
    <xf numFmtId="0" fontId="60" fillId="17" borderId="61" xfId="0" applyFont="1" applyFill="1" applyBorder="1" applyAlignment="1" applyProtection="1">
      <alignment horizontal="center" vertical="center"/>
      <protection hidden="1"/>
    </xf>
    <xf numFmtId="0" fontId="52" fillId="14" borderId="7" xfId="7" quotePrefix="1" applyFont="1" applyFill="1" applyBorder="1" applyAlignment="1" applyProtection="1">
      <alignment horizontal="center" vertical="center"/>
      <protection hidden="1"/>
    </xf>
    <xf numFmtId="0" fontId="52" fillId="14" borderId="18" xfId="7" quotePrefix="1" applyFont="1" applyFill="1" applyBorder="1" applyAlignment="1" applyProtection="1">
      <alignment horizontal="center" vertical="center"/>
      <protection hidden="1"/>
    </xf>
    <xf numFmtId="0" fontId="74" fillId="17" borderId="2" xfId="0" quotePrefix="1" applyFont="1" applyFill="1" applyBorder="1" applyAlignment="1" applyProtection="1">
      <alignment horizontal="center" vertical="center"/>
      <protection hidden="1"/>
    </xf>
    <xf numFmtId="0" fontId="74" fillId="17" borderId="4" xfId="0" quotePrefix="1" applyFont="1" applyFill="1" applyBorder="1" applyAlignment="1" applyProtection="1">
      <alignment horizontal="center" vertical="center"/>
      <protection hidden="1"/>
    </xf>
    <xf numFmtId="0" fontId="74" fillId="17" borderId="3" xfId="0" quotePrefix="1" applyFont="1" applyFill="1" applyBorder="1" applyAlignment="1" applyProtection="1">
      <alignment horizontal="center" vertical="center"/>
      <protection hidden="1"/>
    </xf>
    <xf numFmtId="0" fontId="60" fillId="17" borderId="45" xfId="0" quotePrefix="1" applyFont="1" applyFill="1" applyBorder="1" applyAlignment="1" applyProtection="1">
      <alignment horizontal="center" vertical="center"/>
      <protection hidden="1"/>
    </xf>
    <xf numFmtId="0" fontId="60" fillId="17" borderId="11" xfId="0" quotePrefix="1" applyFont="1" applyFill="1" applyBorder="1" applyAlignment="1" applyProtection="1">
      <alignment horizontal="center" vertical="center"/>
      <protection hidden="1"/>
    </xf>
    <xf numFmtId="0" fontId="60" fillId="17" borderId="50" xfId="0" quotePrefix="1" applyFont="1" applyFill="1" applyBorder="1" applyAlignment="1" applyProtection="1">
      <alignment horizontal="center" vertical="center"/>
      <protection hidden="1"/>
    </xf>
    <xf numFmtId="172" fontId="72" fillId="7" borderId="60" xfId="0" quotePrefix="1" applyNumberFormat="1" applyFont="1" applyFill="1" applyBorder="1" applyAlignment="1" applyProtection="1">
      <alignment horizontal="center" vertical="center"/>
      <protection locked="0"/>
    </xf>
    <xf numFmtId="0" fontId="60" fillId="7" borderId="57" xfId="0" quotePrefix="1" applyFont="1" applyFill="1" applyBorder="1" applyAlignment="1" applyProtection="1">
      <alignment horizontal="center" vertical="center"/>
      <protection hidden="1"/>
    </xf>
    <xf numFmtId="0" fontId="60" fillId="7" borderId="60" xfId="0" quotePrefix="1" applyFont="1" applyFill="1" applyBorder="1" applyAlignment="1" applyProtection="1">
      <alignment horizontal="center" vertical="center"/>
      <protection hidden="1"/>
    </xf>
    <xf numFmtId="0" fontId="72" fillId="7" borderId="57" xfId="0" applyFont="1" applyFill="1" applyBorder="1" applyAlignment="1" applyProtection="1">
      <alignment horizontal="center" vertical="center"/>
      <protection hidden="1"/>
    </xf>
    <xf numFmtId="0" fontId="72" fillId="7" borderId="60" xfId="0" applyFont="1" applyFill="1" applyBorder="1" applyAlignment="1" applyProtection="1">
      <alignment horizontal="center" vertical="center"/>
      <protection hidden="1"/>
    </xf>
    <xf numFmtId="0" fontId="52" fillId="14" borderId="62" xfId="0" quotePrefix="1" applyFont="1" applyFill="1" applyBorder="1" applyAlignment="1" applyProtection="1">
      <alignment horizontal="center" vertical="center"/>
      <protection hidden="1"/>
    </xf>
    <xf numFmtId="0" fontId="52" fillId="14" borderId="55" xfId="0" quotePrefix="1" applyFont="1" applyFill="1" applyBorder="1" applyAlignment="1" applyProtection="1">
      <alignment horizontal="center" vertical="center"/>
      <protection hidden="1"/>
    </xf>
    <xf numFmtId="0" fontId="53" fillId="16" borderId="2" xfId="0" applyFont="1" applyFill="1" applyBorder="1" applyAlignment="1" applyProtection="1">
      <alignment horizontal="center"/>
      <protection hidden="1"/>
    </xf>
    <xf numFmtId="0" fontId="53" fillId="16" borderId="4" xfId="0" applyFont="1" applyFill="1" applyBorder="1" applyAlignment="1" applyProtection="1">
      <alignment horizontal="center"/>
      <protection hidden="1"/>
    </xf>
    <xf numFmtId="0" fontId="53" fillId="16" borderId="3" xfId="0" applyFont="1" applyFill="1" applyBorder="1" applyAlignment="1" applyProtection="1">
      <alignment horizontal="center"/>
      <protection hidden="1"/>
    </xf>
    <xf numFmtId="0" fontId="56" fillId="21" borderId="58" xfId="0" applyFont="1" applyFill="1" applyBorder="1" applyAlignment="1" applyProtection="1">
      <alignment horizontal="center" vertical="center"/>
      <protection hidden="1"/>
    </xf>
    <xf numFmtId="0" fontId="56" fillId="21" borderId="70" xfId="0" applyFont="1" applyFill="1" applyBorder="1" applyAlignment="1" applyProtection="1">
      <alignment horizontal="center" vertical="center"/>
      <protection hidden="1"/>
    </xf>
    <xf numFmtId="0" fontId="81" fillId="15" borderId="5" xfId="0" quotePrefix="1" applyFont="1" applyFill="1" applyBorder="1" applyAlignment="1" applyProtection="1">
      <alignment horizontal="center" vertical="center" wrapText="1"/>
      <protection hidden="1"/>
    </xf>
    <xf numFmtId="0" fontId="81" fillId="15" borderId="9" xfId="0" quotePrefix="1" applyFont="1" applyFill="1" applyBorder="1" applyAlignment="1" applyProtection="1">
      <alignment horizontal="center" vertical="center" wrapText="1"/>
      <protection hidden="1"/>
    </xf>
    <xf numFmtId="0" fontId="81" fillId="15" borderId="16" xfId="0" quotePrefix="1" applyFont="1" applyFill="1" applyBorder="1" applyAlignment="1" applyProtection="1">
      <alignment horizontal="center" vertical="center" wrapText="1"/>
      <protection hidden="1"/>
    </xf>
    <xf numFmtId="0" fontId="81" fillId="15" borderId="17" xfId="0" quotePrefix="1" applyFont="1" applyFill="1" applyBorder="1" applyAlignment="1" applyProtection="1">
      <alignment horizontal="center" vertical="center" wrapText="1"/>
      <protection hidden="1"/>
    </xf>
    <xf numFmtId="0" fontId="81" fillId="15" borderId="0" xfId="0" quotePrefix="1" applyFont="1" applyFill="1" applyAlignment="1" applyProtection="1">
      <alignment horizontal="center" vertical="center" wrapText="1"/>
      <protection hidden="1"/>
    </xf>
    <xf numFmtId="0" fontId="81" fillId="15" borderId="15" xfId="0" quotePrefix="1" applyFont="1" applyFill="1" applyBorder="1" applyAlignment="1" applyProtection="1">
      <alignment horizontal="center" vertical="center" wrapText="1"/>
      <protection hidden="1"/>
    </xf>
    <xf numFmtId="0" fontId="0" fillId="0" borderId="7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18" xfId="0" applyBorder="1" applyAlignment="1">
      <alignment wrapText="1"/>
    </xf>
    <xf numFmtId="0" fontId="67" fillId="15" borderId="0" xfId="0" applyFont="1" applyFill="1" applyAlignment="1" applyProtection="1">
      <alignment horizontal="center" vertical="center"/>
      <protection hidden="1"/>
    </xf>
    <xf numFmtId="0" fontId="56" fillId="18" borderId="60" xfId="0" applyFont="1" applyFill="1" applyBorder="1" applyAlignment="1" applyProtection="1">
      <alignment horizontal="center" vertical="center"/>
      <protection hidden="1"/>
    </xf>
    <xf numFmtId="166" fontId="58" fillId="0" borderId="60" xfId="0" quotePrefix="1" applyNumberFormat="1" applyFont="1" applyBorder="1" applyAlignment="1" applyProtection="1">
      <alignment horizontal="center" vertical="center"/>
      <protection hidden="1"/>
    </xf>
    <xf numFmtId="0" fontId="67" fillId="15" borderId="20" xfId="0" applyFont="1" applyFill="1" applyBorder="1" applyAlignment="1" applyProtection="1">
      <alignment horizontal="center" vertical="center"/>
      <protection hidden="1"/>
    </xf>
    <xf numFmtId="0" fontId="58" fillId="18" borderId="82" xfId="0" applyFont="1" applyFill="1" applyBorder="1" applyAlignment="1" applyProtection="1">
      <alignment horizontal="center" vertical="center"/>
      <protection hidden="1"/>
    </xf>
    <xf numFmtId="0" fontId="58" fillId="18" borderId="63" xfId="0" applyFont="1" applyFill="1" applyBorder="1" applyAlignment="1" applyProtection="1">
      <alignment horizontal="center" vertical="center"/>
      <protection hidden="1"/>
    </xf>
    <xf numFmtId="0" fontId="59" fillId="18" borderId="17" xfId="0" applyFont="1" applyFill="1" applyBorder="1" applyAlignment="1" applyProtection="1">
      <alignment horizontal="center" vertical="center"/>
      <protection hidden="1"/>
    </xf>
    <xf numFmtId="0" fontId="59" fillId="18" borderId="0" xfId="0" applyFont="1" applyFill="1" applyAlignment="1" applyProtection="1">
      <alignment horizontal="center" vertical="center"/>
      <protection hidden="1"/>
    </xf>
    <xf numFmtId="0" fontId="59" fillId="18" borderId="15" xfId="0" applyFont="1" applyFill="1" applyBorder="1" applyAlignment="1" applyProtection="1">
      <alignment horizontal="center" vertical="center"/>
      <protection hidden="1"/>
    </xf>
    <xf numFmtId="0" fontId="68" fillId="15" borderId="0" xfId="2" applyFont="1" applyFill="1" applyAlignment="1" applyProtection="1">
      <alignment horizontal="center"/>
      <protection hidden="1"/>
    </xf>
    <xf numFmtId="0" fontId="68" fillId="15" borderId="15" xfId="2" applyFont="1" applyFill="1" applyBorder="1" applyAlignment="1" applyProtection="1">
      <alignment horizontal="center"/>
      <protection hidden="1"/>
    </xf>
    <xf numFmtId="0" fontId="68" fillId="15" borderId="17" xfId="2" applyFont="1" applyFill="1" applyBorder="1" applyAlignment="1" applyProtection="1">
      <alignment horizontal="center"/>
      <protection hidden="1"/>
    </xf>
    <xf numFmtId="164" fontId="60" fillId="18" borderId="17" xfId="1" quotePrefix="1" applyNumberFormat="1" applyFont="1" applyFill="1" applyBorder="1" applyAlignment="1" applyProtection="1">
      <alignment horizontal="center" vertical="center" wrapText="1"/>
      <protection hidden="1"/>
    </xf>
    <xf numFmtId="164" fontId="60" fillId="18" borderId="0" xfId="1" quotePrefix="1" applyNumberFormat="1" applyFont="1" applyFill="1" applyBorder="1" applyAlignment="1" applyProtection="1">
      <alignment horizontal="center" vertical="center" wrapText="1"/>
      <protection hidden="1"/>
    </xf>
    <xf numFmtId="164" fontId="60" fillId="18" borderId="15" xfId="1" quotePrefix="1" applyNumberFormat="1" applyFont="1" applyFill="1" applyBorder="1" applyAlignment="1" applyProtection="1">
      <alignment horizontal="center" vertical="center" wrapText="1"/>
      <protection hidden="1"/>
    </xf>
    <xf numFmtId="0" fontId="53" fillId="16" borderId="17" xfId="0" applyFont="1" applyFill="1" applyBorder="1" applyAlignment="1" applyProtection="1">
      <alignment horizontal="center"/>
      <protection hidden="1"/>
    </xf>
    <xf numFmtId="0" fontId="53" fillId="16" borderId="0" xfId="0" applyFont="1" applyFill="1" applyAlignment="1" applyProtection="1">
      <alignment horizontal="center"/>
      <protection hidden="1"/>
    </xf>
    <xf numFmtId="0" fontId="53" fillId="16" borderId="15" xfId="0" applyFont="1" applyFill="1" applyBorder="1" applyAlignment="1" applyProtection="1">
      <alignment horizontal="center"/>
      <protection hidden="1"/>
    </xf>
    <xf numFmtId="0" fontId="56" fillId="14" borderId="60" xfId="0" applyFont="1" applyFill="1" applyBorder="1" applyAlignment="1" applyProtection="1">
      <alignment horizontal="center" vertical="center"/>
      <protection hidden="1"/>
    </xf>
    <xf numFmtId="166" fontId="58" fillId="14" borderId="60" xfId="0" quotePrefix="1" applyNumberFormat="1" applyFont="1" applyFill="1" applyBorder="1" applyAlignment="1" applyProtection="1">
      <alignment horizontal="center" vertical="center"/>
      <protection hidden="1"/>
    </xf>
    <xf numFmtId="0" fontId="75" fillId="18" borderId="17" xfId="5" applyFont="1" applyFill="1" applyBorder="1" applyAlignment="1">
      <alignment horizontal="center" vertical="center"/>
    </xf>
    <xf numFmtId="0" fontId="75" fillId="18" borderId="0" xfId="5" applyFont="1" applyFill="1" applyBorder="1" applyAlignment="1">
      <alignment horizontal="center" vertical="center"/>
    </xf>
    <xf numFmtId="0" fontId="75" fillId="18" borderId="15" xfId="5" applyFont="1" applyFill="1" applyBorder="1" applyAlignment="1">
      <alignment horizontal="center" vertical="center"/>
    </xf>
    <xf numFmtId="0" fontId="67" fillId="14" borderId="0" xfId="0" applyFont="1" applyFill="1" applyAlignment="1" applyProtection="1">
      <alignment horizontal="center" vertical="center"/>
      <protection hidden="1"/>
    </xf>
    <xf numFmtId="165" fontId="72" fillId="7" borderId="60" xfId="0" applyNumberFormat="1" applyFont="1" applyFill="1" applyBorder="1" applyAlignment="1" applyProtection="1">
      <alignment horizontal="center" vertical="center"/>
      <protection hidden="1"/>
    </xf>
    <xf numFmtId="0" fontId="58" fillId="18" borderId="58" xfId="0" applyFont="1" applyFill="1" applyBorder="1" applyAlignment="1" applyProtection="1">
      <alignment horizontal="center" vertical="center"/>
      <protection hidden="1"/>
    </xf>
    <xf numFmtId="0" fontId="58" fillId="18" borderId="70" xfId="0" applyFont="1" applyFill="1" applyBorder="1" applyAlignment="1" applyProtection="1">
      <alignment horizontal="center" vertical="center"/>
      <protection hidden="1"/>
    </xf>
    <xf numFmtId="0" fontId="53" fillId="16" borderId="7" xfId="0" applyFont="1" applyFill="1" applyBorder="1" applyAlignment="1" applyProtection="1">
      <alignment horizontal="center"/>
      <protection hidden="1"/>
    </xf>
    <xf numFmtId="0" fontId="53" fillId="16" borderId="10" xfId="0" applyFont="1" applyFill="1" applyBorder="1" applyAlignment="1" applyProtection="1">
      <alignment horizontal="center"/>
      <protection hidden="1"/>
    </xf>
    <xf numFmtId="0" fontId="53" fillId="16" borderId="18" xfId="0" applyFont="1" applyFill="1" applyBorder="1" applyAlignment="1" applyProtection="1">
      <alignment horizontal="center"/>
      <protection hidden="1"/>
    </xf>
    <xf numFmtId="164" fontId="53" fillId="16" borderId="57" xfId="1" applyNumberFormat="1" applyFont="1" applyFill="1" applyBorder="1" applyAlignment="1" applyProtection="1">
      <alignment horizontal="center" vertical="top"/>
      <protection hidden="1"/>
    </xf>
    <xf numFmtId="164" fontId="53" fillId="16" borderId="60" xfId="1" applyNumberFormat="1" applyFont="1" applyFill="1" applyBorder="1" applyAlignment="1" applyProtection="1">
      <alignment horizontal="center" vertical="top"/>
      <protection hidden="1"/>
    </xf>
    <xf numFmtId="0" fontId="89" fillId="15" borderId="5" xfId="0" quotePrefix="1" applyFont="1" applyFill="1" applyBorder="1" applyAlignment="1" applyProtection="1">
      <alignment horizontal="center" vertical="center" wrapText="1"/>
      <protection hidden="1"/>
    </xf>
    <xf numFmtId="0" fontId="89" fillId="15" borderId="9" xfId="0" quotePrefix="1" applyFont="1" applyFill="1" applyBorder="1" applyAlignment="1" applyProtection="1">
      <alignment horizontal="center" vertical="center" wrapText="1"/>
      <protection hidden="1"/>
    </xf>
    <xf numFmtId="0" fontId="89" fillId="15" borderId="16" xfId="0" quotePrefix="1" applyFont="1" applyFill="1" applyBorder="1" applyAlignment="1" applyProtection="1">
      <alignment horizontal="center" vertical="center" wrapText="1"/>
      <protection hidden="1"/>
    </xf>
    <xf numFmtId="0" fontId="89" fillId="15" borderId="7" xfId="0" quotePrefix="1" applyFont="1" applyFill="1" applyBorder="1" applyAlignment="1" applyProtection="1">
      <alignment horizontal="center" vertical="center" wrapText="1"/>
      <protection hidden="1"/>
    </xf>
    <xf numFmtId="0" fontId="89" fillId="15" borderId="10" xfId="0" quotePrefix="1" applyFont="1" applyFill="1" applyBorder="1" applyAlignment="1" applyProtection="1">
      <alignment horizontal="center" vertical="center" wrapText="1"/>
      <protection hidden="1"/>
    </xf>
    <xf numFmtId="0" fontId="89" fillId="15" borderId="18" xfId="0" quotePrefix="1" applyFont="1" applyFill="1" applyBorder="1" applyAlignment="1" applyProtection="1">
      <alignment horizontal="center" vertical="center" wrapText="1"/>
      <protection hidden="1"/>
    </xf>
    <xf numFmtId="0" fontId="80" fillId="16" borderId="17" xfId="2" quotePrefix="1" applyFont="1" applyFill="1" applyBorder="1" applyAlignment="1" applyProtection="1">
      <alignment horizontal="center" vertical="center"/>
      <protection hidden="1"/>
    </xf>
    <xf numFmtId="0" fontId="80" fillId="16" borderId="15" xfId="2" quotePrefix="1" applyFont="1" applyFill="1" applyBorder="1" applyAlignment="1" applyProtection="1">
      <alignment horizontal="center" vertical="center"/>
      <protection hidden="1"/>
    </xf>
    <xf numFmtId="0" fontId="35" fillId="6" borderId="0" xfId="2" applyFont="1" applyFill="1" applyAlignment="1" applyProtection="1">
      <alignment horizontal="center" vertical="center"/>
      <protection hidden="1"/>
    </xf>
    <xf numFmtId="0" fontId="70" fillId="0" borderId="0" xfId="0" applyFont="1" applyAlignment="1" applyProtection="1">
      <alignment horizontal="right" vertical="center"/>
      <protection hidden="1"/>
    </xf>
    <xf numFmtId="0" fontId="58" fillId="0" borderId="0" xfId="0" applyFont="1" applyAlignment="1" applyProtection="1">
      <alignment horizontal="right" vertical="top"/>
      <protection hidden="1"/>
    </xf>
    <xf numFmtId="167" fontId="68" fillId="0" borderId="0" xfId="0" applyNumberFormat="1" applyFont="1" applyAlignment="1" applyProtection="1">
      <alignment horizontal="right" vertical="center"/>
      <protection hidden="1"/>
    </xf>
    <xf numFmtId="0" fontId="66" fillId="15" borderId="17" xfId="0" applyFont="1" applyFill="1" applyBorder="1" applyAlignment="1">
      <alignment horizontal="center"/>
    </xf>
    <xf numFmtId="0" fontId="66" fillId="15" borderId="0" xfId="0" applyFont="1" applyFill="1" applyAlignment="1">
      <alignment horizontal="center"/>
    </xf>
    <xf numFmtId="0" fontId="66" fillId="15" borderId="15" xfId="0" applyFont="1" applyFill="1" applyBorder="1" applyAlignment="1">
      <alignment horizontal="center"/>
    </xf>
    <xf numFmtId="0" fontId="55" fillId="16" borderId="5" xfId="2" applyFont="1" applyFill="1" applyBorder="1" applyAlignment="1" applyProtection="1">
      <alignment horizontal="center"/>
      <protection hidden="1"/>
    </xf>
    <xf numFmtId="0" fontId="55" fillId="16" borderId="9" xfId="2" applyFont="1" applyFill="1" applyBorder="1" applyAlignment="1" applyProtection="1">
      <alignment horizontal="center"/>
      <protection hidden="1"/>
    </xf>
    <xf numFmtId="0" fontId="55" fillId="16" borderId="16" xfId="2" applyFont="1" applyFill="1" applyBorder="1" applyAlignment="1" applyProtection="1">
      <alignment horizontal="center"/>
      <protection hidden="1"/>
    </xf>
    <xf numFmtId="0" fontId="54" fillId="15" borderId="5" xfId="2" applyFont="1" applyFill="1" applyBorder="1" applyAlignment="1" applyProtection="1">
      <alignment horizontal="center" vertical="center"/>
      <protection hidden="1"/>
    </xf>
    <xf numFmtId="0" fontId="54" fillId="15" borderId="9" xfId="2" applyFont="1" applyFill="1" applyBorder="1" applyAlignment="1" applyProtection="1">
      <alignment horizontal="center" vertical="center"/>
      <protection hidden="1"/>
    </xf>
    <xf numFmtId="0" fontId="54" fillId="15" borderId="16" xfId="2" applyFont="1" applyFill="1" applyBorder="1" applyAlignment="1" applyProtection="1">
      <alignment horizontal="center" vertical="center"/>
      <protection hidden="1"/>
    </xf>
    <xf numFmtId="0" fontId="54" fillId="15" borderId="7" xfId="2" applyFont="1" applyFill="1" applyBorder="1" applyAlignment="1" applyProtection="1">
      <alignment horizontal="center" vertical="center"/>
      <protection hidden="1"/>
    </xf>
    <xf numFmtId="0" fontId="54" fillId="15" borderId="10" xfId="2" applyFont="1" applyFill="1" applyBorder="1" applyAlignment="1" applyProtection="1">
      <alignment horizontal="center" vertical="center"/>
      <protection hidden="1"/>
    </xf>
    <xf numFmtId="0" fontId="54" fillId="15" borderId="18" xfId="2" applyFont="1" applyFill="1" applyBorder="1" applyAlignment="1" applyProtection="1">
      <alignment horizontal="center" vertical="center"/>
      <protection hidden="1"/>
    </xf>
    <xf numFmtId="0" fontId="42" fillId="7" borderId="5" xfId="0" applyFont="1" applyFill="1" applyBorder="1" applyAlignment="1" applyProtection="1">
      <alignment horizontal="center" vertical="top"/>
      <protection hidden="1"/>
    </xf>
    <xf numFmtId="0" fontId="42" fillId="7" borderId="9" xfId="0" applyFont="1" applyFill="1" applyBorder="1" applyAlignment="1" applyProtection="1">
      <alignment horizontal="center" vertical="top"/>
      <protection hidden="1"/>
    </xf>
    <xf numFmtId="0" fontId="42" fillId="7" borderId="7" xfId="0" applyFont="1" applyFill="1" applyBorder="1" applyAlignment="1" applyProtection="1">
      <alignment horizontal="center" vertical="top"/>
      <protection hidden="1"/>
    </xf>
    <xf numFmtId="0" fontId="42" fillId="7" borderId="10" xfId="0" applyFont="1" applyFill="1" applyBorder="1" applyAlignment="1" applyProtection="1">
      <alignment horizontal="center" vertical="top"/>
      <protection hidden="1"/>
    </xf>
    <xf numFmtId="0" fontId="5" fillId="3" borderId="2" xfId="2" applyFont="1" applyFill="1" applyBorder="1" applyAlignment="1" applyProtection="1">
      <alignment horizontal="center"/>
      <protection hidden="1"/>
    </xf>
    <xf numFmtId="0" fontId="5" fillId="3" borderId="4" xfId="2" applyFont="1" applyFill="1" applyBorder="1" applyAlignment="1" applyProtection="1">
      <alignment horizontal="center"/>
      <protection hidden="1"/>
    </xf>
    <xf numFmtId="0" fontId="5" fillId="3" borderId="3" xfId="2" applyFont="1" applyFill="1" applyBorder="1" applyAlignment="1" applyProtection="1">
      <alignment horizontal="center"/>
      <protection hidden="1"/>
    </xf>
    <xf numFmtId="0" fontId="5" fillId="2" borderId="7" xfId="2" applyFont="1" applyFill="1" applyBorder="1" applyAlignment="1" applyProtection="1">
      <alignment horizontal="center"/>
      <protection hidden="1"/>
    </xf>
    <xf numFmtId="0" fontId="5" fillId="2" borderId="10" xfId="2" applyFont="1" applyFill="1" applyBorder="1" applyAlignment="1" applyProtection="1">
      <alignment horizontal="center"/>
      <protection hidden="1"/>
    </xf>
    <xf numFmtId="165" fontId="49" fillId="0" borderId="7" xfId="0" applyNumberFormat="1" applyFont="1" applyBorder="1" applyAlignment="1">
      <alignment horizontal="center"/>
    </xf>
    <xf numFmtId="165" fontId="49" fillId="0" borderId="10" xfId="0" applyNumberFormat="1" applyFont="1" applyBorder="1" applyAlignment="1">
      <alignment horizontal="center"/>
    </xf>
    <xf numFmtId="165" fontId="49" fillId="0" borderId="18" xfId="0" applyNumberFormat="1" applyFont="1" applyBorder="1" applyAlignment="1">
      <alignment horizontal="center"/>
    </xf>
    <xf numFmtId="0" fontId="97" fillId="0" borderId="93" xfId="0" applyFont="1" applyBorder="1" applyAlignment="1">
      <alignment horizontal="left" vertical="top" wrapText="1"/>
    </xf>
    <xf numFmtId="0" fontId="97" fillId="0" borderId="95" xfId="0" applyFont="1" applyBorder="1" applyAlignment="1">
      <alignment horizontal="left" vertical="top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top" wrapText="1" indent="1"/>
    </xf>
    <xf numFmtId="0" fontId="100" fillId="22" borderId="93" xfId="0" applyFont="1" applyFill="1" applyBorder="1" applyAlignment="1">
      <alignment horizontal="center" vertical="top" wrapText="1"/>
    </xf>
    <xf numFmtId="0" fontId="100" fillId="22" borderId="94" xfId="0" applyFont="1" applyFill="1" applyBorder="1" applyAlignment="1">
      <alignment horizontal="center" vertical="top" wrapText="1"/>
    </xf>
    <xf numFmtId="0" fontId="100" fillId="22" borderId="95" xfId="0" applyFont="1" applyFill="1" applyBorder="1" applyAlignment="1">
      <alignment horizontal="center" vertical="top" wrapText="1"/>
    </xf>
    <xf numFmtId="165" fontId="12" fillId="12" borderId="61" xfId="2" applyNumberFormat="1" applyFont="1" applyFill="1" applyBorder="1" applyAlignment="1">
      <alignment horizontal="center" vertical="center"/>
    </xf>
    <xf numFmtId="165" fontId="12" fillId="12" borderId="70" xfId="2" applyNumberFormat="1" applyFont="1" applyFill="1" applyBorder="1" applyAlignment="1">
      <alignment horizontal="center" vertical="center"/>
    </xf>
    <xf numFmtId="165" fontId="12" fillId="12" borderId="59" xfId="2" applyNumberFormat="1" applyFont="1" applyFill="1" applyBorder="1" applyAlignment="1">
      <alignment horizontal="center" vertical="center"/>
    </xf>
    <xf numFmtId="0" fontId="14" fillId="13" borderId="47" xfId="2" applyFont="1" applyFill="1" applyBorder="1" applyAlignment="1">
      <alignment horizontal="center" vertical="center" wrapText="1"/>
    </xf>
    <xf numFmtId="0" fontId="14" fillId="13" borderId="46" xfId="2" applyFont="1" applyFill="1" applyBorder="1" applyAlignment="1">
      <alignment horizontal="center" vertical="center" wrapText="1"/>
    </xf>
    <xf numFmtId="0" fontId="20" fillId="0" borderId="20" xfId="5" applyBorder="1" applyAlignment="1">
      <alignment horizontal="left" vertical="center"/>
    </xf>
    <xf numFmtId="0" fontId="29" fillId="0" borderId="62" xfId="2" applyFont="1" applyBorder="1" applyAlignment="1">
      <alignment horizontal="center" vertical="center"/>
    </xf>
    <xf numFmtId="0" fontId="29" fillId="0" borderId="55" xfId="2" applyFont="1" applyBorder="1" applyAlignment="1">
      <alignment horizontal="center" vertical="center"/>
    </xf>
    <xf numFmtId="0" fontId="29" fillId="0" borderId="67" xfId="2" applyFont="1" applyBorder="1" applyAlignment="1">
      <alignment horizontal="center" vertical="center"/>
    </xf>
    <xf numFmtId="0" fontId="29" fillId="0" borderId="40" xfId="2" applyFont="1" applyBorder="1" applyAlignment="1">
      <alignment horizontal="center" vertical="center"/>
    </xf>
    <xf numFmtId="0" fontId="29" fillId="0" borderId="20" xfId="2" applyFont="1" applyBorder="1" applyAlignment="1">
      <alignment horizontal="center" vertical="center"/>
    </xf>
    <xf numFmtId="0" fontId="29" fillId="0" borderId="21" xfId="2" applyFont="1" applyBorder="1" applyAlignment="1">
      <alignment horizontal="center" vertical="center"/>
    </xf>
    <xf numFmtId="0" fontId="29" fillId="0" borderId="17" xfId="2" applyFont="1" applyBorder="1" applyAlignment="1">
      <alignment horizontal="center" vertical="center"/>
    </xf>
    <xf numFmtId="0" fontId="29" fillId="0" borderId="0" xfId="2" applyFont="1" applyAlignment="1">
      <alignment horizontal="center" vertical="center"/>
    </xf>
    <xf numFmtId="0" fontId="29" fillId="0" borderId="14" xfId="2" applyFont="1" applyBorder="1" applyAlignment="1">
      <alignment horizontal="center" vertical="center"/>
    </xf>
    <xf numFmtId="0" fontId="20" fillId="0" borderId="0" xfId="5" applyAlignment="1">
      <alignment horizontal="left" vertical="center"/>
    </xf>
    <xf numFmtId="165" fontId="12" fillId="12" borderId="71" xfId="2" applyNumberFormat="1" applyFont="1" applyFill="1" applyBorder="1" applyAlignment="1">
      <alignment horizontal="center" vertical="center"/>
    </xf>
    <xf numFmtId="165" fontId="12" fillId="12" borderId="72" xfId="2" applyNumberFormat="1" applyFont="1" applyFill="1" applyBorder="1" applyAlignment="1">
      <alignment horizontal="center" vertical="center"/>
    </xf>
    <xf numFmtId="165" fontId="12" fillId="12" borderId="11" xfId="2" applyNumberFormat="1" applyFont="1" applyFill="1" applyBorder="1" applyAlignment="1">
      <alignment horizontal="center" vertical="center"/>
    </xf>
    <xf numFmtId="0" fontId="25" fillId="13" borderId="37" xfId="2" applyFont="1" applyFill="1" applyBorder="1" applyAlignment="1">
      <alignment horizontal="center" vertical="center"/>
    </xf>
    <xf numFmtId="0" fontId="25" fillId="13" borderId="25" xfId="2" applyFont="1" applyFill="1" applyBorder="1" applyAlignment="1">
      <alignment horizontal="center" vertical="center"/>
    </xf>
    <xf numFmtId="0" fontId="25" fillId="13" borderId="38" xfId="2" applyFont="1" applyFill="1" applyBorder="1" applyAlignment="1">
      <alignment horizontal="center" vertical="center"/>
    </xf>
    <xf numFmtId="0" fontId="20" fillId="0" borderId="0" xfId="5" applyAlignment="1">
      <alignment horizontal="left"/>
    </xf>
    <xf numFmtId="0" fontId="19" fillId="13" borderId="24" xfId="2" quotePrefix="1" applyFont="1" applyFill="1" applyBorder="1" applyAlignment="1">
      <alignment horizontal="center"/>
    </xf>
    <xf numFmtId="0" fontId="19" fillId="13" borderId="23" xfId="2" quotePrefix="1" applyFont="1" applyFill="1" applyBorder="1" applyAlignment="1">
      <alignment horizontal="center"/>
    </xf>
    <xf numFmtId="0" fontId="19" fillId="13" borderId="22" xfId="2" quotePrefix="1" applyFont="1" applyFill="1" applyBorder="1" applyAlignment="1">
      <alignment horizontal="center"/>
    </xf>
    <xf numFmtId="0" fontId="18" fillId="0" borderId="5" xfId="2" applyFont="1" applyBorder="1" applyAlignment="1">
      <alignment horizontal="center" vertical="center" wrapText="1"/>
    </xf>
    <xf numFmtId="0" fontId="18" fillId="0" borderId="9" xfId="2" applyFont="1" applyBorder="1" applyAlignment="1">
      <alignment horizontal="center" vertical="center" wrapText="1"/>
    </xf>
    <xf numFmtId="0" fontId="18" fillId="0" borderId="16" xfId="2" applyFont="1" applyBorder="1" applyAlignment="1">
      <alignment horizontal="center" vertical="center" wrapText="1"/>
    </xf>
    <xf numFmtId="0" fontId="18" fillId="0" borderId="17" xfId="2" applyFont="1" applyBorder="1" applyAlignment="1">
      <alignment horizontal="center" vertical="center" wrapText="1"/>
    </xf>
    <xf numFmtId="0" fontId="18" fillId="0" borderId="0" xfId="2" applyFont="1" applyAlignment="1">
      <alignment horizontal="center" vertical="center" wrapText="1"/>
    </xf>
    <xf numFmtId="0" fontId="18" fillId="0" borderId="15" xfId="2" applyFont="1" applyBorder="1" applyAlignment="1">
      <alignment horizontal="center" vertical="center" wrapText="1"/>
    </xf>
    <xf numFmtId="0" fontId="18" fillId="0" borderId="7" xfId="2" applyFont="1" applyBorder="1" applyAlignment="1">
      <alignment horizontal="center" vertical="center" wrapText="1"/>
    </xf>
    <xf numFmtId="0" fontId="18" fillId="0" borderId="10" xfId="2" applyFont="1" applyBorder="1" applyAlignment="1">
      <alignment horizontal="center" vertical="center" wrapText="1"/>
    </xf>
    <xf numFmtId="0" fontId="18" fillId="0" borderId="18" xfId="2" applyFont="1" applyBorder="1" applyAlignment="1">
      <alignment horizontal="center" vertical="center" wrapText="1"/>
    </xf>
    <xf numFmtId="0" fontId="29" fillId="0" borderId="62" xfId="2" applyFont="1" applyBorder="1" applyAlignment="1">
      <alignment horizontal="center" vertical="center" wrapText="1"/>
    </xf>
    <xf numFmtId="0" fontId="29" fillId="0" borderId="55" xfId="2" applyFont="1" applyBorder="1" applyAlignment="1">
      <alignment horizontal="center" vertical="center" wrapText="1"/>
    </xf>
    <xf numFmtId="0" fontId="29" fillId="0" borderId="67" xfId="2" applyFont="1" applyBorder="1" applyAlignment="1">
      <alignment horizontal="center" vertical="center" wrapText="1"/>
    </xf>
    <xf numFmtId="0" fontId="29" fillId="0" borderId="40" xfId="2" applyFont="1" applyBorder="1" applyAlignment="1">
      <alignment horizontal="center" vertical="center" wrapText="1"/>
    </xf>
    <xf numFmtId="0" fontId="29" fillId="0" borderId="20" xfId="2" applyFont="1" applyBorder="1" applyAlignment="1">
      <alignment horizontal="center" vertical="center" wrapText="1"/>
    </xf>
    <xf numFmtId="0" fontId="29" fillId="0" borderId="21" xfId="2" applyFont="1" applyBorder="1" applyAlignment="1">
      <alignment horizontal="center" vertical="center" wrapText="1"/>
    </xf>
    <xf numFmtId="0" fontId="24" fillId="13" borderId="32" xfId="2" quotePrefix="1" applyFont="1" applyFill="1" applyBorder="1" applyAlignment="1">
      <alignment horizontal="center" vertical="center"/>
    </xf>
    <xf numFmtId="0" fontId="24" fillId="13" borderId="33" xfId="2" quotePrefix="1" applyFont="1" applyFill="1" applyBorder="1" applyAlignment="1">
      <alignment horizontal="center" vertical="center"/>
    </xf>
    <xf numFmtId="0" fontId="20" fillId="0" borderId="27" xfId="5" applyBorder="1" applyAlignment="1">
      <alignment horizontal="left"/>
    </xf>
    <xf numFmtId="0" fontId="20" fillId="0" borderId="15" xfId="5" applyBorder="1" applyAlignment="1">
      <alignment horizontal="left"/>
    </xf>
    <xf numFmtId="166" fontId="21" fillId="0" borderId="34" xfId="2" applyNumberFormat="1" applyFont="1" applyBorder="1" applyAlignment="1">
      <alignment horizontal="center"/>
    </xf>
    <xf numFmtId="166" fontId="21" fillId="0" borderId="35" xfId="2" applyNumberFormat="1" applyFont="1" applyBorder="1" applyAlignment="1">
      <alignment horizontal="center"/>
    </xf>
    <xf numFmtId="0" fontId="20" fillId="0" borderId="20" xfId="5" applyBorder="1" applyAlignment="1">
      <alignment horizontal="left"/>
    </xf>
    <xf numFmtId="0" fontId="29" fillId="0" borderId="5" xfId="2" applyFont="1" applyBorder="1" applyAlignment="1">
      <alignment horizontal="center" vertical="center" wrapText="1"/>
    </xf>
    <xf numFmtId="0" fontId="29" fillId="0" borderId="9" xfId="2" applyFont="1" applyBorder="1" applyAlignment="1">
      <alignment horizontal="center" vertical="center" wrapText="1"/>
    </xf>
    <xf numFmtId="0" fontId="29" fillId="0" borderId="39" xfId="2" applyFont="1" applyBorder="1" applyAlignment="1">
      <alignment horizontal="center" vertical="center" wrapText="1"/>
    </xf>
    <xf numFmtId="0" fontId="29" fillId="0" borderId="17" xfId="2" applyFont="1" applyBorder="1" applyAlignment="1">
      <alignment horizontal="center" vertical="center" wrapText="1"/>
    </xf>
    <xf numFmtId="0" fontId="29" fillId="0" borderId="0" xfId="2" applyFont="1" applyAlignment="1">
      <alignment horizontal="center" vertical="center" wrapText="1"/>
    </xf>
    <xf numFmtId="0" fontId="29" fillId="0" borderId="14" xfId="2" applyFont="1" applyBorder="1" applyAlignment="1">
      <alignment horizontal="center" vertical="center" wrapText="1"/>
    </xf>
    <xf numFmtId="0" fontId="19" fillId="13" borderId="2" xfId="2" applyFont="1" applyFill="1" applyBorder="1" applyAlignment="1">
      <alignment horizontal="center" vertical="center" wrapText="1"/>
    </xf>
    <xf numFmtId="0" fontId="19" fillId="13" borderId="4" xfId="2" applyFont="1" applyFill="1" applyBorder="1" applyAlignment="1">
      <alignment horizontal="center" vertical="center" wrapText="1"/>
    </xf>
    <xf numFmtId="0" fontId="19" fillId="13" borderId="3" xfId="2" applyFont="1" applyFill="1" applyBorder="1" applyAlignment="1">
      <alignment horizontal="center" vertical="center" wrapText="1"/>
    </xf>
    <xf numFmtId="0" fontId="12" fillId="0" borderId="57" xfId="2" applyFont="1" applyBorder="1" applyAlignment="1">
      <alignment horizontal="center" vertical="center"/>
    </xf>
    <xf numFmtId="0" fontId="12" fillId="0" borderId="60" xfId="2" applyFont="1" applyBorder="1" applyAlignment="1">
      <alignment horizontal="center" vertical="center"/>
    </xf>
    <xf numFmtId="0" fontId="12" fillId="0" borderId="45" xfId="2" applyFont="1" applyBorder="1" applyAlignment="1">
      <alignment horizontal="center" vertical="center"/>
    </xf>
    <xf numFmtId="0" fontId="12" fillId="0" borderId="11" xfId="2" applyFont="1" applyBorder="1" applyAlignment="1">
      <alignment horizontal="center" vertical="center"/>
    </xf>
    <xf numFmtId="0" fontId="25" fillId="13" borderId="2" xfId="2" quotePrefix="1" applyFont="1" applyFill="1" applyBorder="1" applyAlignment="1">
      <alignment horizontal="center"/>
    </xf>
    <xf numFmtId="0" fontId="25" fillId="13" borderId="4" xfId="2" quotePrefix="1" applyFont="1" applyFill="1" applyBorder="1" applyAlignment="1">
      <alignment horizontal="center"/>
    </xf>
    <xf numFmtId="0" fontId="25" fillId="13" borderId="3" xfId="2" quotePrefix="1" applyFont="1" applyFill="1" applyBorder="1" applyAlignment="1">
      <alignment horizontal="center"/>
    </xf>
    <xf numFmtId="0" fontId="5" fillId="13" borderId="5" xfId="2" applyFont="1" applyFill="1" applyBorder="1" applyAlignment="1">
      <alignment horizontal="center" vertical="center" wrapText="1"/>
    </xf>
    <xf numFmtId="0" fontId="5" fillId="13" borderId="9" xfId="2" applyFont="1" applyFill="1" applyBorder="1" applyAlignment="1">
      <alignment horizontal="center" vertical="center" wrapText="1"/>
    </xf>
    <xf numFmtId="0" fontId="5" fillId="13" borderId="16" xfId="2" applyFont="1" applyFill="1" applyBorder="1" applyAlignment="1">
      <alignment horizontal="center" vertical="center" wrapText="1"/>
    </xf>
    <xf numFmtId="44" fontId="15" fillId="0" borderId="4" xfId="3" applyFont="1" applyBorder="1" applyAlignment="1">
      <alignment horizontal="center"/>
    </xf>
    <xf numFmtId="44" fontId="15" fillId="0" borderId="3" xfId="3" applyFont="1" applyBorder="1" applyAlignment="1">
      <alignment horizontal="center"/>
    </xf>
    <xf numFmtId="0" fontId="24" fillId="13" borderId="17" xfId="2" quotePrefix="1" applyFont="1" applyFill="1" applyBorder="1" applyAlignment="1">
      <alignment horizontal="center" vertical="center"/>
    </xf>
    <xf numFmtId="0" fontId="24" fillId="13" borderId="0" xfId="2" quotePrefix="1" applyFont="1" applyFill="1" applyAlignment="1">
      <alignment horizontal="center" vertical="center"/>
    </xf>
    <xf numFmtId="0" fontId="24" fillId="13" borderId="15" xfId="2" quotePrefix="1" applyFont="1" applyFill="1" applyBorder="1" applyAlignment="1">
      <alignment horizontal="center" vertical="center"/>
    </xf>
    <xf numFmtId="6" fontId="23" fillId="0" borderId="7" xfId="6" applyNumberFormat="1" applyFont="1" applyBorder="1" applyAlignment="1">
      <alignment horizontal="center" vertical="center"/>
    </xf>
    <xf numFmtId="6" fontId="23" fillId="0" borderId="10" xfId="6" applyNumberFormat="1" applyFont="1" applyBorder="1" applyAlignment="1">
      <alignment horizontal="center" vertical="center"/>
    </xf>
    <xf numFmtId="6" fontId="23" fillId="0" borderId="18" xfId="6" applyNumberFormat="1" applyFont="1" applyBorder="1" applyAlignment="1">
      <alignment horizontal="center" vertical="center"/>
    </xf>
    <xf numFmtId="0" fontId="3" fillId="12" borderId="7" xfId="2" applyFill="1" applyBorder="1" applyAlignment="1">
      <alignment horizontal="center" wrapText="1"/>
    </xf>
    <xf numFmtId="0" fontId="3" fillId="12" borderId="10" xfId="2" applyFill="1" applyBorder="1" applyAlignment="1">
      <alignment horizontal="center" wrapText="1"/>
    </xf>
    <xf numFmtId="0" fontId="3" fillId="12" borderId="18" xfId="2" applyFill="1" applyBorder="1" applyAlignment="1">
      <alignment horizontal="center" wrapText="1"/>
    </xf>
    <xf numFmtId="0" fontId="3" fillId="12" borderId="17" xfId="2" applyFill="1" applyBorder="1" applyAlignment="1">
      <alignment horizontal="center" wrapText="1"/>
    </xf>
    <xf numFmtId="0" fontId="3" fillId="12" borderId="0" xfId="2" applyFill="1" applyAlignment="1">
      <alignment horizontal="center" wrapText="1"/>
    </xf>
    <xf numFmtId="0" fontId="3" fillId="12" borderId="15" xfId="2" applyFill="1" applyBorder="1" applyAlignment="1">
      <alignment horizontal="center" wrapText="1"/>
    </xf>
    <xf numFmtId="0" fontId="3" fillId="0" borderId="0" xfId="2" applyAlignment="1">
      <alignment horizontal="center"/>
    </xf>
    <xf numFmtId="0" fontId="20" fillId="0" borderId="10" xfId="5" applyBorder="1" applyAlignment="1">
      <alignment horizontal="left" vertical="center"/>
    </xf>
    <xf numFmtId="0" fontId="29" fillId="0" borderId="7" xfId="2" applyFont="1" applyBorder="1" applyAlignment="1">
      <alignment horizontal="center" vertical="center" wrapText="1"/>
    </xf>
    <xf numFmtId="0" fontId="29" fillId="0" borderId="10" xfId="2" applyFont="1" applyBorder="1" applyAlignment="1">
      <alignment horizontal="center" vertical="center" wrapText="1"/>
    </xf>
    <xf numFmtId="165" fontId="12" fillId="12" borderId="73" xfId="2" applyNumberFormat="1" applyFont="1" applyFill="1" applyBorder="1" applyAlignment="1">
      <alignment horizontal="center" vertical="center"/>
    </xf>
    <xf numFmtId="0" fontId="12" fillId="0" borderId="64" xfId="2" applyFont="1" applyBorder="1" applyAlignment="1">
      <alignment horizontal="center" vertical="center"/>
    </xf>
    <xf numFmtId="0" fontId="12" fillId="0" borderId="65" xfId="2" applyFont="1" applyBorder="1" applyAlignment="1">
      <alignment horizontal="center" vertical="center"/>
    </xf>
  </cellXfs>
  <cellStyles count="8">
    <cellStyle name="Currency" xfId="3" builtinId="4"/>
    <cellStyle name="Currency 2" xfId="6" xr:uid="{1AD27A99-DC0B-4383-8F37-69EC62F5982E}"/>
    <cellStyle name="Hyperlink" xfId="5" builtinId="8"/>
    <cellStyle name="Normal" xfId="0" builtinId="0"/>
    <cellStyle name="Normal 3" xfId="2" xr:uid="{63D959FD-5140-477C-B239-BA1240140690}"/>
    <cellStyle name="Normal 7" xfId="7" xr:uid="{C5090EF3-9D1D-4C05-8628-AD3334214F75}"/>
    <cellStyle name="Normal_Inputs" xfId="4" xr:uid="{7B4CCA4B-1982-4464-9CB2-CBC84A6B8A72}"/>
    <cellStyle name="Percent" xfId="1" builtinId="5"/>
  </cellStyles>
  <dxfs count="19">
    <dxf>
      <font>
        <color rgb="FFFF0000"/>
      </font>
      <fill>
        <patternFill>
          <bgColor rgb="FFFFFF00"/>
        </patternFill>
      </fill>
    </dxf>
    <dxf>
      <font>
        <color rgb="FF003366"/>
      </font>
      <fill>
        <patternFill>
          <bgColor rgb="FF003366"/>
        </patternFill>
      </fill>
    </dxf>
    <dxf>
      <font>
        <b/>
        <i val="0"/>
        <color rgb="FFFFFF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3A3838"/>
      </font>
      <fill>
        <patternFill>
          <bgColor rgb="FF3A3838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3A3838"/>
      </font>
      <fill>
        <patternFill>
          <bgColor rgb="FF3A3838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numFmt numFmtId="2" formatCode="0.00"/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</dxfs>
  <tableStyles count="1" defaultTableStyle="TableStyleMedium2" defaultPivotStyle="PivotStyleLight16">
    <tableStyle name="Invisible" pivot="0" table="0" count="0" xr9:uid="{096D2BE8-196D-43CE-8547-44BCAC75981A}"/>
  </tableStyles>
  <colors>
    <mruColors>
      <color rgb="FF3A3838"/>
      <color rgb="FF58595B"/>
      <color rgb="FFFC7D20"/>
      <color rgb="FF12919C"/>
      <color rgb="FF717374"/>
      <color rgb="FFFFB612"/>
      <color rgb="FFA5ACAF"/>
      <color rgb="FFBFBFBF"/>
      <color rgb="FF003366"/>
      <color rgb="FF17346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forwardlendingmtg.com/non-qm-closed-end-seconds/" TargetMode="Externa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https://loanstreamwholesale.com/order-an-appraisal/" TargetMode="External"/><Relationship Id="rId3" Type="http://schemas.openxmlformats.org/officeDocument/2006/relationships/hyperlink" Target="https://loanstreamwholesale.com/" TargetMode="External"/><Relationship Id="rId7" Type="http://schemas.openxmlformats.org/officeDocument/2006/relationships/hyperlink" Target="https://loanstreamwholesale.com/rates-enter/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hyperlink" Target="https://loanstreamwholesale.com/marketing/" TargetMode="External"/><Relationship Id="rId5" Type="http://schemas.openxmlformats.org/officeDocument/2006/relationships/hyperlink" Target="https://lswholesale.encompasstpoconnect.com/#/content/home_64465" TargetMode="External"/><Relationship Id="rId4" Type="http://schemas.openxmlformats.org/officeDocument/2006/relationships/hyperlink" Target="https://loanstreamwholesale.com/forms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215013</xdr:colOff>
      <xdr:row>2</xdr:row>
      <xdr:rowOff>11906</xdr:rowOff>
    </xdr:from>
    <xdr:to>
      <xdr:col>23</xdr:col>
      <xdr:colOff>870276</xdr:colOff>
      <xdr:row>4</xdr:row>
      <xdr:rowOff>21843</xdr:rowOff>
    </xdr:to>
    <xdr:sp macro="" textlink="">
      <xdr:nvSpPr>
        <xdr:cNvPr id="2" name="Flowchart: Alternate Proces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4D0046B-D92D-41AE-98AA-766FF6564AA2}"/>
            </a:ext>
          </a:extLst>
        </xdr:cNvPr>
        <xdr:cNvSpPr/>
      </xdr:nvSpPr>
      <xdr:spPr>
        <a:xfrm>
          <a:off x="20038919" y="392906"/>
          <a:ext cx="2072107" cy="390937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Product</a:t>
          </a:r>
          <a:r>
            <a:rPr lang="en-US" sz="14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</a:t>
          </a:r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Matrix</a:t>
          </a:r>
          <a:endParaRPr lang="en-US" sz="10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21</xdr:col>
      <xdr:colOff>260537</xdr:colOff>
      <xdr:row>7</xdr:row>
      <xdr:rowOff>182658</xdr:rowOff>
    </xdr:from>
    <xdr:to>
      <xdr:col>21</xdr:col>
      <xdr:colOff>1013012</xdr:colOff>
      <xdr:row>9</xdr:row>
      <xdr:rowOff>135032</xdr:rowOff>
    </xdr:to>
    <xdr:sp macro="[0]!ResetFunction" textlink="">
      <xdr:nvSpPr>
        <xdr:cNvPr id="3" name="Flowchart: Alternate Process 2">
          <a:extLst>
            <a:ext uri="{FF2B5EF4-FFF2-40B4-BE49-F238E27FC236}">
              <a16:creationId xmlns:a16="http://schemas.microsoft.com/office/drawing/2014/main" id="{455ABD8A-DCA6-49CB-9795-40934576F40E}"/>
            </a:ext>
          </a:extLst>
        </xdr:cNvPr>
        <xdr:cNvSpPr/>
      </xdr:nvSpPr>
      <xdr:spPr>
        <a:xfrm>
          <a:off x="18386612" y="1573308"/>
          <a:ext cx="714375" cy="352424"/>
        </a:xfrm>
        <a:prstGeom prst="flowChartAlternateProcess">
          <a:avLst/>
        </a:prstGeom>
        <a:solidFill>
          <a:schemeClr val="accent5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 u="sng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Reset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190500</xdr:colOff>
      <xdr:row>2</xdr:row>
      <xdr:rowOff>152400</xdr:rowOff>
    </xdr:from>
    <xdr:ext cx="2443510" cy="949302"/>
    <xdr:pic>
      <xdr:nvPicPr>
        <xdr:cNvPr id="2" name="Picture 1">
          <a:extLst>
            <a:ext uri="{FF2B5EF4-FFF2-40B4-BE49-F238E27FC236}">
              <a16:creationId xmlns:a16="http://schemas.microsoft.com/office/drawing/2014/main" id="{BBA4B395-6ABB-4475-87C8-5E0FEB96B0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700" y="476250"/>
          <a:ext cx="2443510" cy="949302"/>
        </a:xfrm>
        <a:prstGeom prst="rect">
          <a:avLst/>
        </a:prstGeom>
      </xdr:spPr>
    </xdr:pic>
    <xdr:clientData/>
  </xdr:oneCellAnchor>
  <xdr:oneCellAnchor>
    <xdr:from>
      <xdr:col>13</xdr:col>
      <xdr:colOff>504825</xdr:colOff>
      <xdr:row>2</xdr:row>
      <xdr:rowOff>76200</xdr:rowOff>
    </xdr:from>
    <xdr:ext cx="3694761" cy="1653540"/>
    <xdr:pic>
      <xdr:nvPicPr>
        <xdr:cNvPr id="3" name="irc_mi" descr="Image result for 19000 macarthur blvd irvine ca 92612">
          <a:extLst>
            <a:ext uri="{FF2B5EF4-FFF2-40B4-BE49-F238E27FC236}">
              <a16:creationId xmlns:a16="http://schemas.microsoft.com/office/drawing/2014/main" id="{0F965F9E-F2B9-4CB8-88C2-A887222740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0425" y="266700"/>
          <a:ext cx="3694761" cy="1653540"/>
        </a:xfrm>
        <a:prstGeom prst="rect">
          <a:avLst/>
        </a:prstGeom>
        <a:noFill/>
        <a:effectLst>
          <a:glow>
            <a:srgbClr val="4AC71D">
              <a:alpha val="42000"/>
            </a:srgbClr>
          </a:glow>
          <a:softEdge rad="3810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201523</xdr:colOff>
      <xdr:row>31</xdr:row>
      <xdr:rowOff>145548</xdr:rowOff>
    </xdr:from>
    <xdr:ext cx="2789327" cy="530658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10DEABBD-97D1-44E3-B19A-1744CA71BB08}"/>
            </a:ext>
          </a:extLst>
        </xdr:cNvPr>
        <xdr:cNvSpPr/>
      </xdr:nvSpPr>
      <xdr:spPr>
        <a:xfrm>
          <a:off x="1020673" y="5689098"/>
          <a:ext cx="2789327" cy="530658"/>
        </a:xfrm>
        <a:prstGeom prst="rect">
          <a:avLst/>
        </a:prstGeom>
        <a:noFill/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wrap="square" lIns="91440" tIns="45720" rIns="91440" bIns="45720">
          <a:prstTxWarp prst="textDeflate">
            <a:avLst/>
          </a:prstTxWarp>
          <a:spAutoFit/>
        </a:bodyPr>
        <a:lstStyle/>
        <a:p>
          <a:pPr algn="ctr"/>
          <a:r>
            <a:rPr lang="en-US" sz="28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Quick</a:t>
          </a:r>
          <a:r>
            <a:rPr lang="en-US" sz="2800" b="1" cap="none" spc="0" baseline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 Links</a:t>
          </a:r>
          <a:endParaRPr lang="en-US" sz="28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  <xdr:twoCellAnchor>
    <xdr:from>
      <xdr:col>2</xdr:col>
      <xdr:colOff>47625</xdr:colOff>
      <xdr:row>36</xdr:row>
      <xdr:rowOff>95250</xdr:rowOff>
    </xdr:from>
    <xdr:to>
      <xdr:col>3</xdr:col>
      <xdr:colOff>649357</xdr:colOff>
      <xdr:row>38</xdr:row>
      <xdr:rowOff>27332</xdr:rowOff>
    </xdr:to>
    <xdr:sp macro="" textlink="">
      <xdr:nvSpPr>
        <xdr:cNvPr id="5" name="Flowchart: Alternate Process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64E4E4D-A7C4-4E9E-A085-AF6F6E41F470}"/>
            </a:ext>
          </a:extLst>
        </xdr:cNvPr>
        <xdr:cNvSpPr/>
      </xdr:nvSpPr>
      <xdr:spPr>
        <a:xfrm>
          <a:off x="285750" y="644842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LSM Website</a:t>
          </a:r>
        </a:p>
      </xdr:txBody>
    </xdr:sp>
    <xdr:clientData/>
  </xdr:twoCellAnchor>
  <xdr:twoCellAnchor>
    <xdr:from>
      <xdr:col>4</xdr:col>
      <xdr:colOff>342900</xdr:colOff>
      <xdr:row>36</xdr:row>
      <xdr:rowOff>76200</xdr:rowOff>
    </xdr:from>
    <xdr:to>
      <xdr:col>6</xdr:col>
      <xdr:colOff>458857</xdr:colOff>
      <xdr:row>38</xdr:row>
      <xdr:rowOff>8282</xdr:rowOff>
    </xdr:to>
    <xdr:sp macro="" textlink="">
      <xdr:nvSpPr>
        <xdr:cNvPr id="6" name="Flowchart: Alternate Process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18EEA1A7-3664-4B2F-9C86-04103A3AA8E0}"/>
            </a:ext>
          </a:extLst>
        </xdr:cNvPr>
        <xdr:cNvSpPr/>
      </xdr:nvSpPr>
      <xdr:spPr>
        <a:xfrm>
          <a:off x="1828800" y="64293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Quick Forms</a:t>
          </a:r>
        </a:p>
      </xdr:txBody>
    </xdr:sp>
    <xdr:clientData/>
  </xdr:twoCellAnchor>
  <xdr:twoCellAnchor>
    <xdr:from>
      <xdr:col>2</xdr:col>
      <xdr:colOff>47625</xdr:colOff>
      <xdr:row>39</xdr:row>
      <xdr:rowOff>76200</xdr:rowOff>
    </xdr:from>
    <xdr:to>
      <xdr:col>3</xdr:col>
      <xdr:colOff>649357</xdr:colOff>
      <xdr:row>40</xdr:row>
      <xdr:rowOff>141632</xdr:rowOff>
    </xdr:to>
    <xdr:sp macro="" textlink="">
      <xdr:nvSpPr>
        <xdr:cNvPr id="7" name="Flowchart: Alternate Process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BF234C99-E5CA-4304-9097-541E1F2BC63E}"/>
            </a:ext>
          </a:extLst>
        </xdr:cNvPr>
        <xdr:cNvSpPr/>
      </xdr:nvSpPr>
      <xdr:spPr>
        <a:xfrm>
          <a:off x="285750" y="69246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Portal Login</a:t>
          </a:r>
        </a:p>
      </xdr:txBody>
    </xdr:sp>
    <xdr:clientData/>
  </xdr:twoCellAnchor>
  <xdr:twoCellAnchor>
    <xdr:from>
      <xdr:col>7</xdr:col>
      <xdr:colOff>342900</xdr:colOff>
      <xdr:row>39</xdr:row>
      <xdr:rowOff>47625</xdr:rowOff>
    </xdr:from>
    <xdr:to>
      <xdr:col>8</xdr:col>
      <xdr:colOff>647700</xdr:colOff>
      <xdr:row>40</xdr:row>
      <xdr:rowOff>113057</xdr:rowOff>
    </xdr:to>
    <xdr:sp macro="" textlink="">
      <xdr:nvSpPr>
        <xdr:cNvPr id="8" name="Flowchart: Alternate Process 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5A64ED0B-6F42-4710-946E-55631F67255E}"/>
            </a:ext>
          </a:extLst>
        </xdr:cNvPr>
        <xdr:cNvSpPr/>
      </xdr:nvSpPr>
      <xdr:spPr>
        <a:xfrm>
          <a:off x="3390900" y="6896100"/>
          <a:ext cx="1228725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Marketing</a:t>
          </a:r>
        </a:p>
      </xdr:txBody>
    </xdr:sp>
    <xdr:clientData/>
  </xdr:twoCellAnchor>
  <xdr:twoCellAnchor>
    <xdr:from>
      <xdr:col>7</xdr:col>
      <xdr:colOff>361950</xdr:colOff>
      <xdr:row>36</xdr:row>
      <xdr:rowOff>76200</xdr:rowOff>
    </xdr:from>
    <xdr:to>
      <xdr:col>8</xdr:col>
      <xdr:colOff>620782</xdr:colOff>
      <xdr:row>38</xdr:row>
      <xdr:rowOff>8282</xdr:rowOff>
    </xdr:to>
    <xdr:sp macro="" textlink="">
      <xdr:nvSpPr>
        <xdr:cNvPr id="9" name="Flowchart: Alternate Process 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337CF0F4-DCDC-4EC4-A988-FC720DA13476}"/>
            </a:ext>
          </a:extLst>
        </xdr:cNvPr>
        <xdr:cNvSpPr/>
      </xdr:nvSpPr>
      <xdr:spPr>
        <a:xfrm>
          <a:off x="3409950" y="64293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Ratesheets</a:t>
          </a:r>
        </a:p>
      </xdr:txBody>
    </xdr:sp>
    <xdr:clientData/>
  </xdr:twoCellAnchor>
  <xdr:twoCellAnchor>
    <xdr:from>
      <xdr:col>4</xdr:col>
      <xdr:colOff>304800</xdr:colOff>
      <xdr:row>39</xdr:row>
      <xdr:rowOff>66675</xdr:rowOff>
    </xdr:from>
    <xdr:to>
      <xdr:col>7</xdr:col>
      <xdr:colOff>9525</xdr:colOff>
      <xdr:row>40</xdr:row>
      <xdr:rowOff>132107</xdr:rowOff>
    </xdr:to>
    <xdr:sp macro="" textlink="">
      <xdr:nvSpPr>
        <xdr:cNvPr id="10" name="Flowchart: Alternate Process 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3327DD83-BCD4-4517-A953-7A57DEB35F69}"/>
            </a:ext>
          </a:extLst>
        </xdr:cNvPr>
        <xdr:cNvSpPr/>
      </xdr:nvSpPr>
      <xdr:spPr>
        <a:xfrm>
          <a:off x="1790700" y="6915150"/>
          <a:ext cx="1266825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Appraisal</a:t>
          </a:r>
          <a:r>
            <a:rPr lang="en-US" sz="14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Info</a:t>
          </a:r>
          <a:endParaRPr lang="en-US" sz="14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forwardlendingmtg.com/prime-forms/" TargetMode="External"/><Relationship Id="rId1" Type="http://schemas.openxmlformats.org/officeDocument/2006/relationships/hyperlink" Target="https://loanstreamwholesale.com/wp-content/uploads/2022/04/LSM-X-UND_FEESALLOWED-WHOLESALE-04-18-22.pdf" TargetMode="External"/><Relationship Id="rId4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Submissions_ls@LSMortgage.com" TargetMode="External"/><Relationship Id="rId13" Type="http://schemas.openxmlformats.org/officeDocument/2006/relationships/printerSettings" Target="../printerSettings/printerSettings3.bin"/><Relationship Id="rId3" Type="http://schemas.openxmlformats.org/officeDocument/2006/relationships/hyperlink" Target="mailto:NANQScenario@LSMortgage.com" TargetMode="External"/><Relationship Id="rId7" Type="http://schemas.openxmlformats.org/officeDocument/2006/relationships/hyperlink" Target="mailto:Funding@LSMortgage.com" TargetMode="External"/><Relationship Id="rId12" Type="http://schemas.openxmlformats.org/officeDocument/2006/relationships/hyperlink" Target="mailto:MAziz@LSMortgage.com" TargetMode="External"/><Relationship Id="rId2" Type="http://schemas.openxmlformats.org/officeDocument/2006/relationships/hyperlink" Target="mailto:LockDesk@LSMortgage.com" TargetMode="External"/><Relationship Id="rId1" Type="http://schemas.openxmlformats.org/officeDocument/2006/relationships/hyperlink" Target="mailto:Inquires@LSMortgage.com" TargetMode="External"/><Relationship Id="rId6" Type="http://schemas.openxmlformats.org/officeDocument/2006/relationships/hyperlink" Target="mailto:CD@LSMortgage.com" TargetMode="External"/><Relationship Id="rId11" Type="http://schemas.openxmlformats.org/officeDocument/2006/relationships/hyperlink" Target="mailto:AElway@LSMortgage.com" TargetMode="External"/><Relationship Id="rId5" Type="http://schemas.openxmlformats.org/officeDocument/2006/relationships/hyperlink" Target="mailto:DRacer@LSMortgage.com" TargetMode="External"/><Relationship Id="rId10" Type="http://schemas.openxmlformats.org/officeDocument/2006/relationships/hyperlink" Target="mailto:NAllen@LSMortgage.com" TargetMode="External"/><Relationship Id="rId4" Type="http://schemas.openxmlformats.org/officeDocument/2006/relationships/hyperlink" Target="mailto:EZQual@LSMortgage.com" TargetMode="External"/><Relationship Id="rId9" Type="http://schemas.openxmlformats.org/officeDocument/2006/relationships/hyperlink" Target="mailto:NHernandez@LSMortgage.com" TargetMode="External"/><Relationship Id="rId1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51F6D-0E32-4C6A-83A3-7FE16A30F235}">
  <sheetPr codeName="Sheet2">
    <tabColor theme="4" tint="-0.499984740745262"/>
  </sheetPr>
  <dimension ref="A1:AK184"/>
  <sheetViews>
    <sheetView showGridLines="0" topLeftCell="A28" zoomScale="70" zoomScaleNormal="70" workbookViewId="0">
      <selection activeCell="B67" sqref="B67"/>
    </sheetView>
  </sheetViews>
  <sheetFormatPr baseColWidth="10" defaultColWidth="9.1640625" defaultRowHeight="15"/>
  <cols>
    <col min="1" max="1" width="32.1640625" style="48" bestFit="1" customWidth="1"/>
    <col min="2" max="2" width="22.6640625" style="48" customWidth="1"/>
    <col min="3" max="3" width="18" style="48" bestFit="1" customWidth="1"/>
    <col min="4" max="4" width="20" style="48" customWidth="1"/>
    <col min="5" max="5" width="54.83203125" style="48" customWidth="1"/>
    <col min="6" max="6" width="19.83203125" style="48" customWidth="1"/>
    <col min="7" max="7" width="52.5" style="48" customWidth="1"/>
    <col min="8" max="8" width="24.1640625" style="48" bestFit="1" customWidth="1"/>
    <col min="9" max="9" width="50.1640625" style="48" customWidth="1"/>
    <col min="10" max="10" width="21.6640625" style="48" bestFit="1" customWidth="1"/>
    <col min="11" max="11" width="52.1640625" style="48" customWidth="1"/>
    <col min="12" max="12" width="27.1640625" style="48" bestFit="1" customWidth="1"/>
    <col min="13" max="13" width="42.1640625" style="48" bestFit="1" customWidth="1"/>
    <col min="14" max="14" width="49.6640625" style="48" customWidth="1"/>
    <col min="15" max="15" width="38.5" style="48" bestFit="1" customWidth="1"/>
    <col min="16" max="16" width="20.1640625" style="48" bestFit="1" customWidth="1"/>
    <col min="17" max="17" width="25.33203125" style="48" bestFit="1" customWidth="1"/>
    <col min="18" max="18" width="26.5" style="48" customWidth="1"/>
    <col min="19" max="19" width="38.5" style="49" customWidth="1"/>
    <col min="20" max="20" width="19.5" style="49" bestFit="1" customWidth="1"/>
    <col min="21" max="21" width="22" style="49" customWidth="1"/>
    <col min="22" max="22" width="8.33203125" style="49" bestFit="1" customWidth="1"/>
    <col min="23" max="23" width="28.83203125" style="49" bestFit="1" customWidth="1"/>
    <col min="24" max="24" width="37.5" style="49" bestFit="1" customWidth="1"/>
    <col min="25" max="25" width="40.6640625" style="49" bestFit="1" customWidth="1"/>
    <col min="26" max="28" width="37.5" style="49" bestFit="1" customWidth="1"/>
    <col min="29" max="29" width="45.5" style="49" customWidth="1"/>
    <col min="30" max="30" width="14.6640625" style="49" bestFit="1" customWidth="1"/>
    <col min="31" max="31" width="16" style="48" bestFit="1" customWidth="1"/>
    <col min="32" max="32" width="9.1640625" style="48"/>
    <col min="33" max="33" width="28.5" style="48" customWidth="1"/>
    <col min="34" max="16384" width="9.1640625" style="48"/>
  </cols>
  <sheetData>
    <row r="1" spans="1:30">
      <c r="A1" s="270" t="s">
        <v>21</v>
      </c>
      <c r="B1" s="270" t="s">
        <v>22</v>
      </c>
      <c r="C1" s="270" t="s">
        <v>3</v>
      </c>
      <c r="D1" s="270" t="s">
        <v>188</v>
      </c>
      <c r="E1" s="270" t="s">
        <v>7</v>
      </c>
      <c r="F1" s="270" t="s">
        <v>23</v>
      </c>
      <c r="G1" s="270" t="s">
        <v>24</v>
      </c>
      <c r="H1" s="270" t="s">
        <v>10</v>
      </c>
      <c r="I1" s="270" t="s">
        <v>9</v>
      </c>
      <c r="J1" s="270" t="s">
        <v>25</v>
      </c>
      <c r="K1" s="270" t="s">
        <v>26</v>
      </c>
      <c r="L1" s="270" t="s">
        <v>5</v>
      </c>
      <c r="M1" s="270" t="s">
        <v>147</v>
      </c>
      <c r="N1" s="270" t="s">
        <v>12</v>
      </c>
      <c r="O1" s="270" t="s">
        <v>160</v>
      </c>
      <c r="P1" s="270" t="s">
        <v>161</v>
      </c>
      <c r="Q1"/>
      <c r="R1"/>
      <c r="S1" s="102"/>
      <c r="T1"/>
      <c r="U1"/>
      <c r="V1"/>
      <c r="Y1" s="48"/>
      <c r="Z1" s="48"/>
      <c r="AA1" s="48"/>
      <c r="AB1" s="48"/>
      <c r="AC1" s="48"/>
      <c r="AD1" s="48"/>
    </row>
    <row r="2" spans="1:30">
      <c r="A2" s="59" t="s">
        <v>27</v>
      </c>
      <c r="B2" s="59" t="s">
        <v>27</v>
      </c>
      <c r="C2" s="59" t="s">
        <v>27</v>
      </c>
      <c r="D2" s="59" t="s">
        <v>27</v>
      </c>
      <c r="E2" s="59" t="s">
        <v>27</v>
      </c>
      <c r="F2" s="59" t="s">
        <v>27</v>
      </c>
      <c r="G2" s="59" t="s">
        <v>27</v>
      </c>
      <c r="H2" s="59" t="s">
        <v>27</v>
      </c>
      <c r="I2" s="59" t="s">
        <v>27</v>
      </c>
      <c r="J2" s="59" t="s">
        <v>27</v>
      </c>
      <c r="K2" s="59" t="s">
        <v>27</v>
      </c>
      <c r="L2" s="59" t="s">
        <v>27</v>
      </c>
      <c r="M2" s="59" t="s">
        <v>27</v>
      </c>
      <c r="N2" s="59" t="s">
        <v>27</v>
      </c>
      <c r="O2" s="59" t="s">
        <v>27</v>
      </c>
      <c r="P2" s="59" t="s">
        <v>27</v>
      </c>
      <c r="Q2"/>
      <c r="R2"/>
      <c r="S2" s="59"/>
      <c r="U2"/>
      <c r="V2"/>
      <c r="X2"/>
      <c r="Y2"/>
      <c r="Z2" s="48"/>
      <c r="AA2" s="48"/>
      <c r="AB2" s="48"/>
      <c r="AC2" s="48"/>
      <c r="AD2" s="48"/>
    </row>
    <row r="3" spans="1:30">
      <c r="A3" s="48" t="s">
        <v>126</v>
      </c>
      <c r="B3" s="59" t="s">
        <v>290</v>
      </c>
      <c r="C3" s="98" t="s">
        <v>170</v>
      </c>
      <c r="D3" s="48" t="s">
        <v>194</v>
      </c>
      <c r="E3" s="59" t="s">
        <v>142</v>
      </c>
      <c r="F3" s="135" t="s">
        <v>185</v>
      </c>
      <c r="G3" s="59" t="s">
        <v>152</v>
      </c>
      <c r="H3" s="59" t="s">
        <v>146</v>
      </c>
      <c r="I3" s="59" t="s">
        <v>29</v>
      </c>
      <c r="J3" s="48" t="s">
        <v>36</v>
      </c>
      <c r="K3" s="59" t="s">
        <v>30</v>
      </c>
      <c r="L3" s="59" t="s">
        <v>6</v>
      </c>
      <c r="M3" s="48" t="s">
        <v>148</v>
      </c>
      <c r="N3" s="59" t="s">
        <v>13</v>
      </c>
      <c r="O3" s="59" t="s">
        <v>176</v>
      </c>
      <c r="P3" s="59" t="s">
        <v>162</v>
      </c>
      <c r="Q3"/>
      <c r="R3"/>
      <c r="S3" s="59"/>
      <c r="T3"/>
      <c r="U3"/>
      <c r="V3"/>
      <c r="W3" s="49" t="s">
        <v>31</v>
      </c>
      <c r="X3"/>
      <c r="Y3"/>
      <c r="Z3" s="48"/>
      <c r="AA3" s="48"/>
      <c r="AB3" s="48"/>
      <c r="AC3" s="48"/>
      <c r="AD3" s="48"/>
    </row>
    <row r="4" spans="1:30">
      <c r="A4" s="48" t="s">
        <v>127</v>
      </c>
      <c r="B4" s="59" t="s">
        <v>134</v>
      </c>
      <c r="C4" s="98" t="s">
        <v>28</v>
      </c>
      <c r="D4" s="59" t="s">
        <v>189</v>
      </c>
      <c r="E4" s="59" t="s">
        <v>143</v>
      </c>
      <c r="F4" s="59" t="s">
        <v>144</v>
      </c>
      <c r="G4" s="59" t="s">
        <v>354</v>
      </c>
      <c r="H4" s="59" t="s">
        <v>293</v>
      </c>
      <c r="I4" s="59" t="s">
        <v>32</v>
      </c>
      <c r="J4" s="48" t="s">
        <v>150</v>
      </c>
      <c r="K4" s="59" t="s">
        <v>15</v>
      </c>
      <c r="L4" s="59" t="s">
        <v>33</v>
      </c>
      <c r="M4" s="48" t="s">
        <v>149</v>
      </c>
      <c r="N4" s="48" t="s">
        <v>166</v>
      </c>
      <c r="O4" s="59" t="s">
        <v>177</v>
      </c>
      <c r="P4" s="59" t="s">
        <v>180</v>
      </c>
      <c r="Q4"/>
      <c r="R4"/>
      <c r="S4"/>
      <c r="T4"/>
      <c r="U4"/>
      <c r="V4"/>
      <c r="W4" s="49" t="s">
        <v>31</v>
      </c>
      <c r="X4"/>
      <c r="Y4"/>
      <c r="Z4" s="48"/>
      <c r="AA4" s="48"/>
      <c r="AB4" s="48"/>
      <c r="AC4" s="48"/>
      <c r="AD4" s="48"/>
    </row>
    <row r="5" spans="1:30">
      <c r="A5" s="48" t="s">
        <v>128</v>
      </c>
      <c r="B5" s="59" t="s">
        <v>135</v>
      </c>
      <c r="C5" s="98" t="s">
        <v>4</v>
      </c>
      <c r="D5" s="59" t="s">
        <v>190</v>
      </c>
      <c r="E5" s="59" t="s">
        <v>184</v>
      </c>
      <c r="F5" s="59" t="s">
        <v>145</v>
      </c>
      <c r="G5" s="59" t="s">
        <v>355</v>
      </c>
      <c r="H5" s="59" t="s">
        <v>294</v>
      </c>
      <c r="I5" s="59" t="s">
        <v>297</v>
      </c>
      <c r="J5" s="48" t="s">
        <v>151</v>
      </c>
      <c r="K5" s="59" t="s">
        <v>34</v>
      </c>
      <c r="L5" s="59" t="s">
        <v>35</v>
      </c>
      <c r="M5" s="97"/>
      <c r="N5" s="59" t="s">
        <v>124</v>
      </c>
      <c r="O5" s="59" t="s">
        <v>178</v>
      </c>
      <c r="P5" s="59" t="s">
        <v>163</v>
      </c>
      <c r="Q5"/>
      <c r="R5" s="49"/>
      <c r="S5"/>
      <c r="T5"/>
      <c r="U5"/>
      <c r="V5"/>
      <c r="W5" s="49" t="s">
        <v>31</v>
      </c>
      <c r="X5"/>
      <c r="Y5"/>
      <c r="Z5" s="48"/>
      <c r="AA5" s="48"/>
      <c r="AB5" s="48"/>
      <c r="AC5" s="48"/>
      <c r="AD5" s="48"/>
    </row>
    <row r="6" spans="1:30">
      <c r="A6" s="48" t="s">
        <v>129</v>
      </c>
      <c r="B6" s="59" t="s">
        <v>136</v>
      </c>
      <c r="C6" s="48" t="s">
        <v>186</v>
      </c>
      <c r="D6" s="48" t="s">
        <v>191</v>
      </c>
      <c r="E6" s="59" t="s">
        <v>195</v>
      </c>
      <c r="F6" s="59" t="s">
        <v>153</v>
      </c>
      <c r="G6" s="59" t="s">
        <v>356</v>
      </c>
      <c r="H6" s="64" t="s">
        <v>295</v>
      </c>
      <c r="I6" s="59" t="s">
        <v>296</v>
      </c>
      <c r="J6" s="59"/>
      <c r="K6" s="59"/>
      <c r="L6" s="48" t="s">
        <v>193</v>
      </c>
      <c r="M6" s="97"/>
      <c r="N6" s="59" t="s">
        <v>182</v>
      </c>
      <c r="O6"/>
      <c r="P6"/>
      <c r="Q6"/>
      <c r="R6"/>
      <c r="S6"/>
      <c r="T6"/>
      <c r="U6"/>
      <c r="V6"/>
      <c r="W6" s="49" t="s">
        <v>31</v>
      </c>
      <c r="X6"/>
      <c r="Y6"/>
      <c r="Z6" s="48"/>
      <c r="AA6" s="48"/>
      <c r="AB6" s="48"/>
      <c r="AC6" s="48"/>
      <c r="AD6" s="48"/>
    </row>
    <row r="7" spans="1:30">
      <c r="A7" s="48" t="s">
        <v>130</v>
      </c>
      <c r="B7" s="59" t="s">
        <v>137</v>
      </c>
      <c r="C7" s="59"/>
      <c r="D7" s="48" t="s">
        <v>192</v>
      </c>
      <c r="F7" s="59" t="s">
        <v>154</v>
      </c>
      <c r="G7" s="99"/>
      <c r="H7" s="59"/>
      <c r="I7" s="59"/>
      <c r="J7" s="59"/>
      <c r="K7" s="59"/>
      <c r="L7" s="48" t="s">
        <v>289</v>
      </c>
      <c r="M7"/>
      <c r="N7" s="59"/>
      <c r="O7"/>
      <c r="P7"/>
      <c r="Q7"/>
      <c r="R7"/>
      <c r="S7"/>
      <c r="T7"/>
      <c r="U7"/>
      <c r="V7"/>
      <c r="W7" s="49" t="s">
        <v>31</v>
      </c>
      <c r="X7"/>
      <c r="Y7"/>
      <c r="Z7" s="48"/>
      <c r="AA7" s="48"/>
      <c r="AB7" s="48"/>
      <c r="AC7" s="48"/>
      <c r="AD7" s="48"/>
    </row>
    <row r="8" spans="1:30">
      <c r="A8" s="48" t="s">
        <v>131</v>
      </c>
      <c r="B8" s="59" t="s">
        <v>138</v>
      </c>
      <c r="C8" s="59"/>
      <c r="D8" s="48" t="s">
        <v>236</v>
      </c>
      <c r="F8" s="59" t="s">
        <v>187</v>
      </c>
      <c r="G8" s="99"/>
      <c r="I8" s="59"/>
      <c r="J8" s="59"/>
      <c r="K8" s="59"/>
      <c r="L8" s="59"/>
      <c r="M8"/>
      <c r="N8" s="59"/>
      <c r="O8"/>
      <c r="P8"/>
      <c r="Q8"/>
      <c r="R8"/>
      <c r="S8"/>
      <c r="T8"/>
      <c r="U8"/>
      <c r="V8"/>
      <c r="W8" s="49" t="s">
        <v>31</v>
      </c>
      <c r="X8"/>
      <c r="Y8"/>
      <c r="Z8" s="48"/>
      <c r="AA8" s="48"/>
      <c r="AB8" s="48"/>
      <c r="AC8" s="48"/>
      <c r="AD8" s="48"/>
    </row>
    <row r="9" spans="1:30">
      <c r="A9" s="48" t="s">
        <v>132</v>
      </c>
      <c r="B9" s="59" t="s">
        <v>139</v>
      </c>
      <c r="C9" s="59"/>
      <c r="D9" s="98"/>
      <c r="E9" s="59"/>
      <c r="F9" s="59"/>
      <c r="G9" s="59"/>
      <c r="H9" s="59"/>
      <c r="I9" s="59"/>
      <c r="J9" s="59"/>
      <c r="K9" s="59"/>
      <c r="L9" s="59"/>
      <c r="M9"/>
      <c r="N9" s="59"/>
      <c r="O9"/>
      <c r="P9"/>
      <c r="Q9"/>
      <c r="R9"/>
      <c r="S9"/>
      <c r="T9"/>
      <c r="U9"/>
      <c r="V9"/>
      <c r="W9" s="49" t="s">
        <v>31</v>
      </c>
      <c r="X9"/>
      <c r="Y9"/>
      <c r="Z9" s="48"/>
      <c r="AA9" s="48"/>
      <c r="AB9" s="48"/>
      <c r="AC9" s="48"/>
      <c r="AD9" s="48"/>
    </row>
    <row r="10" spans="1:30">
      <c r="A10" s="48" t="s">
        <v>133</v>
      </c>
      <c r="B10" s="59" t="s">
        <v>140</v>
      </c>
      <c r="C10" s="97"/>
      <c r="D10" s="59"/>
      <c r="E10" s="59"/>
      <c r="F10" s="59"/>
      <c r="G10" s="59"/>
      <c r="H10" s="59"/>
      <c r="I10" s="59"/>
      <c r="J10" s="59"/>
      <c r="K10" s="59"/>
      <c r="L10" s="59"/>
      <c r="M10"/>
      <c r="N10" s="59"/>
      <c r="O10"/>
      <c r="P10"/>
      <c r="Q10"/>
      <c r="R10"/>
      <c r="S10"/>
      <c r="T10"/>
      <c r="U10"/>
      <c r="V10"/>
      <c r="W10" s="49" t="s">
        <v>31</v>
      </c>
      <c r="X10"/>
      <c r="Y10"/>
      <c r="Z10" s="48"/>
      <c r="AA10" s="48"/>
      <c r="AB10" s="48"/>
      <c r="AC10" s="48"/>
      <c r="AD10" s="48"/>
    </row>
    <row r="11" spans="1:30">
      <c r="A11" s="59"/>
      <c r="B11" s="59" t="s">
        <v>141</v>
      </c>
      <c r="C11" s="97"/>
      <c r="D11" s="59"/>
      <c r="E11" s="59"/>
      <c r="F11" s="59"/>
      <c r="G11" s="59"/>
      <c r="H11" s="64"/>
      <c r="I11" s="59"/>
      <c r="J11" s="59"/>
      <c r="K11" s="59"/>
      <c r="L11" s="59"/>
      <c r="M11" s="97"/>
      <c r="N11" s="59"/>
      <c r="O11"/>
      <c r="P11"/>
      <c r="Q11"/>
      <c r="R11"/>
      <c r="S11"/>
      <c r="T11"/>
      <c r="U11"/>
      <c r="V11"/>
      <c r="X11"/>
      <c r="Y11"/>
      <c r="Z11" s="48"/>
      <c r="AA11" s="48"/>
      <c r="AB11" s="48"/>
      <c r="AC11" s="48"/>
      <c r="AD11" s="48"/>
    </row>
    <row r="12" spans="1:30">
      <c r="A12" s="59"/>
      <c r="B12" s="59"/>
      <c r="C12" s="97"/>
      <c r="F12" s="59"/>
      <c r="G12" s="59"/>
      <c r="H12" s="64"/>
      <c r="I12" s="59"/>
      <c r="J12" s="59"/>
      <c r="K12" s="59"/>
      <c r="L12" s="59"/>
      <c r="M12" s="97"/>
      <c r="N12" s="59"/>
      <c r="O12"/>
      <c r="P12"/>
      <c r="Q12"/>
      <c r="R12"/>
      <c r="S12"/>
      <c r="T12"/>
      <c r="U12"/>
      <c r="V12"/>
      <c r="W12" s="49" t="s">
        <v>31</v>
      </c>
      <c r="X12"/>
      <c r="Y12" s="48"/>
      <c r="Z12" s="48"/>
      <c r="AA12" s="48"/>
      <c r="AB12" s="48"/>
      <c r="AC12" s="48"/>
      <c r="AD12" s="48"/>
    </row>
    <row r="13" spans="1:30">
      <c r="B13" s="59"/>
      <c r="C13" s="59"/>
      <c r="F13" s="59"/>
      <c r="H13" s="59"/>
      <c r="I13" s="59"/>
      <c r="J13" s="59"/>
      <c r="K13" s="59"/>
      <c r="L13" s="59"/>
      <c r="M13" s="97"/>
      <c r="N13" s="59"/>
      <c r="O13"/>
      <c r="P13"/>
      <c r="Q13"/>
      <c r="R13"/>
      <c r="S13"/>
      <c r="T13"/>
      <c r="U13"/>
      <c r="V13"/>
      <c r="W13" s="49" t="s">
        <v>31</v>
      </c>
      <c r="Y13" s="48"/>
      <c r="Z13" s="48"/>
      <c r="AA13" s="48"/>
      <c r="AB13" s="48"/>
      <c r="AC13" s="48"/>
      <c r="AD13" s="48"/>
    </row>
    <row r="14" spans="1:30">
      <c r="M14" s="63"/>
      <c r="N14" s="59"/>
      <c r="O14"/>
      <c r="P14"/>
      <c r="Q14"/>
      <c r="R14" s="63"/>
      <c r="S14" s="63"/>
      <c r="T14" s="63"/>
      <c r="U14" s="63"/>
      <c r="V14" s="63"/>
      <c r="Y14" s="48"/>
      <c r="Z14" s="48"/>
      <c r="AA14" s="48"/>
      <c r="AB14" s="48"/>
      <c r="AC14" s="48"/>
      <c r="AD14" s="48"/>
    </row>
    <row r="15" spans="1:30">
      <c r="C15" s="66"/>
      <c r="M15" s="63"/>
      <c r="N15" s="49"/>
      <c r="O15"/>
      <c r="P15"/>
      <c r="Q15"/>
      <c r="R15" s="63"/>
      <c r="S15" s="63"/>
      <c r="T15" s="63"/>
      <c r="U15" s="63"/>
      <c r="V15" s="63"/>
      <c r="Y15" s="48"/>
      <c r="Z15" s="48"/>
      <c r="AA15" s="48"/>
      <c r="AB15" s="48"/>
      <c r="AC15" s="48"/>
      <c r="AD15" s="48"/>
    </row>
    <row r="16" spans="1:30">
      <c r="A16" s="104"/>
      <c r="C16" s="59"/>
      <c r="M16" s="63"/>
      <c r="N16" s="63"/>
      <c r="O16"/>
      <c r="P16"/>
      <c r="Q16"/>
      <c r="R16" s="63"/>
      <c r="S16" s="63"/>
      <c r="T16" s="63"/>
      <c r="U16" s="63"/>
      <c r="V16" s="63"/>
      <c r="Y16" s="48"/>
      <c r="Z16" s="48"/>
      <c r="AA16" s="48"/>
      <c r="AB16" s="48"/>
      <c r="AC16" s="48"/>
      <c r="AD16" s="48"/>
    </row>
    <row r="17" spans="1:30">
      <c r="A17" s="80"/>
      <c r="M17" s="63"/>
      <c r="N17" s="63"/>
      <c r="O17" s="63"/>
      <c r="P17" s="63"/>
      <c r="Q17" s="63"/>
      <c r="R17" s="63"/>
      <c r="S17" s="63"/>
      <c r="T17" s="63"/>
      <c r="U17" s="63"/>
      <c r="V17" s="63"/>
      <c r="Y17" s="48"/>
      <c r="Z17" s="48"/>
      <c r="AA17" s="48"/>
      <c r="AB17" s="48"/>
      <c r="AC17" s="48"/>
      <c r="AD17" s="48"/>
    </row>
    <row r="18" spans="1:30">
      <c r="M18" s="63"/>
      <c r="N18" s="63"/>
      <c r="O18" s="63"/>
      <c r="P18" s="63"/>
      <c r="Q18" s="63"/>
      <c r="R18" s="63"/>
      <c r="S18" s="63"/>
      <c r="T18" s="63"/>
      <c r="U18" s="63"/>
      <c r="V18" s="63"/>
      <c r="Y18" s="48"/>
      <c r="Z18" s="48"/>
      <c r="AA18" s="48"/>
      <c r="AB18" s="48"/>
      <c r="AC18" s="48"/>
      <c r="AD18" s="48"/>
    </row>
    <row r="19" spans="1:30">
      <c r="M19" s="63"/>
      <c r="N19" s="63"/>
      <c r="O19" s="63"/>
      <c r="P19" s="63"/>
      <c r="Q19" s="63"/>
      <c r="R19" s="63"/>
      <c r="S19" s="63"/>
      <c r="T19" s="63"/>
      <c r="U19" s="63"/>
      <c r="V19" s="63"/>
      <c r="Y19" s="48"/>
      <c r="Z19" s="48"/>
      <c r="AA19" s="48"/>
      <c r="AB19" s="48"/>
      <c r="AC19" s="48"/>
      <c r="AD19" s="48"/>
    </row>
    <row r="20" spans="1:30">
      <c r="M20" s="63"/>
      <c r="N20" s="63"/>
      <c r="O20" s="63"/>
      <c r="P20" s="63"/>
      <c r="Q20" s="63"/>
      <c r="R20" s="63"/>
      <c r="S20" s="63"/>
      <c r="T20" s="63"/>
      <c r="U20" s="63"/>
      <c r="V20" s="63"/>
      <c r="Y20" s="48"/>
      <c r="Z20" s="48"/>
      <c r="AA20" s="48"/>
      <c r="AB20" s="48"/>
      <c r="AC20" s="48"/>
      <c r="AD20" s="48"/>
    </row>
    <row r="21" spans="1:30"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C21" s="48"/>
      <c r="AD21" s="48"/>
    </row>
    <row r="22" spans="1:30">
      <c r="E22"/>
      <c r="F22"/>
      <c r="G22"/>
      <c r="H22"/>
      <c r="Q22"/>
      <c r="R22" s="49"/>
      <c r="S22"/>
      <c r="T22"/>
      <c r="U22"/>
      <c r="V22"/>
      <c r="W22"/>
      <c r="X22"/>
      <c r="Y22"/>
      <c r="Z22"/>
      <c r="AA22" s="49" t="s">
        <v>31</v>
      </c>
      <c r="AC22" s="48"/>
      <c r="AD22" s="48"/>
    </row>
    <row r="23" spans="1:30">
      <c r="E23"/>
      <c r="F23"/>
      <c r="G23"/>
      <c r="Q23"/>
      <c r="R23" s="49"/>
      <c r="S23"/>
      <c r="T23"/>
      <c r="U23"/>
      <c r="V23"/>
      <c r="W23"/>
      <c r="X23"/>
      <c r="Y23"/>
      <c r="Z23"/>
      <c r="AA23" s="49" t="s">
        <v>31</v>
      </c>
      <c r="AC23" s="48"/>
      <c r="AD23" s="48"/>
    </row>
    <row r="24" spans="1:30">
      <c r="F24"/>
      <c r="G24"/>
      <c r="H24"/>
      <c r="S24"/>
      <c r="U24"/>
      <c r="V24"/>
      <c r="W24"/>
      <c r="X24"/>
      <c r="Y24"/>
      <c r="Z24"/>
      <c r="AA24"/>
      <c r="AB24"/>
      <c r="AC24" s="49" t="s">
        <v>31</v>
      </c>
    </row>
    <row r="25" spans="1:30">
      <c r="F25"/>
      <c r="G25"/>
      <c r="H25"/>
      <c r="P25"/>
      <c r="S25"/>
      <c r="U25"/>
      <c r="V25"/>
      <c r="W25"/>
      <c r="X25"/>
      <c r="Y25"/>
      <c r="Z25"/>
      <c r="AA25"/>
      <c r="AB25"/>
      <c r="AC25" s="49" t="s">
        <v>31</v>
      </c>
    </row>
    <row r="26" spans="1:30">
      <c r="E26"/>
      <c r="F26"/>
      <c r="G26"/>
      <c r="H26"/>
      <c r="S26"/>
      <c r="U26"/>
      <c r="V26"/>
      <c r="W26"/>
      <c r="X26"/>
      <c r="Y26"/>
      <c r="Z26"/>
      <c r="AA26"/>
      <c r="AB26"/>
      <c r="AC26" s="49" t="s">
        <v>31</v>
      </c>
    </row>
    <row r="27" spans="1:30">
      <c r="E27"/>
      <c r="F27"/>
      <c r="G27"/>
      <c r="H27"/>
      <c r="I27" s="80"/>
      <c r="S27"/>
      <c r="U27"/>
      <c r="V27"/>
      <c r="W27"/>
      <c r="X27"/>
      <c r="Y27"/>
      <c r="Z27"/>
      <c r="AA27"/>
      <c r="AB27"/>
      <c r="AC27" s="49" t="s">
        <v>31</v>
      </c>
    </row>
    <row r="28" spans="1:30">
      <c r="E28"/>
      <c r="F28"/>
      <c r="G28"/>
      <c r="H28"/>
      <c r="S28"/>
      <c r="U28"/>
      <c r="V28"/>
      <c r="W28"/>
      <c r="X28"/>
      <c r="Y28"/>
      <c r="Z28"/>
      <c r="AA28"/>
      <c r="AB28"/>
      <c r="AC28" s="49" t="s">
        <v>31</v>
      </c>
    </row>
    <row r="29" spans="1:30">
      <c r="A29" s="66"/>
      <c r="B29" s="59"/>
      <c r="F29"/>
      <c r="G29"/>
      <c r="H29"/>
      <c r="S29"/>
      <c r="U29"/>
      <c r="V29"/>
      <c r="W29"/>
      <c r="X29"/>
      <c r="Y29"/>
      <c r="Z29"/>
      <c r="AA29"/>
      <c r="AB29"/>
      <c r="AC29" s="49" t="s">
        <v>31</v>
      </c>
    </row>
    <row r="30" spans="1:30">
      <c r="A30" s="59"/>
      <c r="B30" s="59"/>
      <c r="F30"/>
      <c r="G30"/>
      <c r="H30"/>
      <c r="S30"/>
      <c r="U30"/>
      <c r="V30"/>
      <c r="W30"/>
      <c r="X30"/>
      <c r="Y30"/>
      <c r="Z30"/>
      <c r="AA30"/>
      <c r="AB30"/>
      <c r="AC30" s="49" t="s">
        <v>31</v>
      </c>
    </row>
    <row r="31" spans="1:30">
      <c r="A31" s="59"/>
      <c r="B31" s="59"/>
      <c r="S31"/>
      <c r="U31"/>
      <c r="V31"/>
      <c r="W31"/>
      <c r="X31"/>
      <c r="Y31"/>
      <c r="Z31"/>
      <c r="AA31"/>
      <c r="AB31"/>
      <c r="AC31" s="49" t="s">
        <v>31</v>
      </c>
    </row>
    <row r="32" spans="1:30">
      <c r="A32" s="59"/>
      <c r="B32" s="59"/>
      <c r="S32"/>
      <c r="U32"/>
      <c r="V32"/>
      <c r="W32"/>
      <c r="X32"/>
      <c r="Y32"/>
      <c r="Z32"/>
      <c r="AA32"/>
      <c r="AB32"/>
      <c r="AC32" s="49" t="s">
        <v>31</v>
      </c>
    </row>
    <row r="33" spans="1:34">
      <c r="A33"/>
      <c r="B33"/>
      <c r="N33" s="62"/>
      <c r="S33"/>
      <c r="U33"/>
      <c r="V33"/>
      <c r="W33"/>
      <c r="X33"/>
      <c r="Y33"/>
      <c r="Z33"/>
      <c r="AA33"/>
      <c r="AB33"/>
      <c r="AC33" s="49" t="s">
        <v>31</v>
      </c>
    </row>
    <row r="34" spans="1:34">
      <c r="A34"/>
      <c r="B34"/>
      <c r="N34" s="62"/>
      <c r="S34"/>
      <c r="U34"/>
      <c r="V34"/>
      <c r="W34"/>
      <c r="X34"/>
      <c r="Y34"/>
      <c r="Z34"/>
      <c r="AA34"/>
      <c r="AB34"/>
      <c r="AC34" s="49" t="s">
        <v>31</v>
      </c>
    </row>
    <row r="35" spans="1:34"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 s="49" t="s">
        <v>31</v>
      </c>
    </row>
    <row r="36" spans="1:34">
      <c r="L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34">
      <c r="L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 s="49" t="s">
        <v>31</v>
      </c>
    </row>
    <row r="38" spans="1:34" ht="17" thickBot="1">
      <c r="A38" s="267" t="s">
        <v>121</v>
      </c>
      <c r="B38" s="266"/>
      <c r="C38" s="59"/>
      <c r="D38" s="59"/>
      <c r="E38" s="267" t="s">
        <v>157</v>
      </c>
      <c r="F38" s="268"/>
      <c r="G38" s="267" t="s">
        <v>156</v>
      </c>
      <c r="H38" s="268"/>
      <c r="I38" s="267" t="s">
        <v>171</v>
      </c>
      <c r="J38" s="268"/>
      <c r="K38" s="267" t="s">
        <v>217</v>
      </c>
      <c r="L38" s="268"/>
      <c r="M38" s="102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 s="49" t="s">
        <v>31</v>
      </c>
    </row>
    <row r="39" spans="1:34">
      <c r="A39" s="126" t="s">
        <v>216</v>
      </c>
      <c r="B39" s="127" t="str" cm="1">
        <f t="array" ref="B39">IF(AND(OR('Closed End Seconds (FL)'!U10=B12:B13),'Closed End Seconds (FL)'!U16=E5),NA(),"")</f>
        <v/>
      </c>
      <c r="C39" s="59"/>
      <c r="D39" s="59"/>
      <c r="E39" s="121" t="s">
        <v>243</v>
      </c>
      <c r="F39" s="147" t="str">
        <f>IF(AND(
ISNUMBER(MATCH('Closed End Seconds (FL)'!U17, F3:F7, 0)),
ISNUMBER(MATCH('Closed End Seconds (FL)'!U18, I3, 0)),
ISNUMBER(MATCH('Closed End Seconds (FL)'!U10, B11, 0)),
ISNUMBER(MATCH('Closed End Seconds (FL)'!U11, A9:A10, 0)),
'Closed End Seconds (FL)'!U13=C4
), NA(), "")</f>
        <v/>
      </c>
      <c r="G39" s="151" t="s">
        <v>224</v>
      </c>
      <c r="H39" s="147"/>
      <c r="I39" s="151" t="s">
        <v>227</v>
      </c>
      <c r="J39" s="147" t="str" cm="1">
        <f t="array" ref="J39">IF(AND(OR('Closed End Seconds (FL)'!U17=F3:F6),OR('Closed End Seconds (FL)'!U18=I3),OR('Closed End Seconds (FL)'!U10=B10:B11),OR('Closed End Seconds (FL)'!U11=A3:A10),OR('Closed End Seconds (FL)'!U13=C3)),NA(),"")</f>
        <v/>
      </c>
      <c r="K39" s="145" t="s">
        <v>228</v>
      </c>
      <c r="L39" s="264" t="str" cm="1">
        <f t="array" ref="L39">IF(AND(OR('Closed End Seconds (FL)'!U17=F8),OR('Closed End Seconds (FL)'!U18=I5),OR('Closed End Seconds (FL)'!U10=B8:B11),OR('Closed End Seconds (FL)'!U13=C6)),NA(),"")</f>
        <v/>
      </c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 s="49" t="s">
        <v>31</v>
      </c>
    </row>
    <row r="40" spans="1:34">
      <c r="A40" s="128"/>
      <c r="B40" s="129"/>
      <c r="C40" s="59"/>
      <c r="D40" s="59"/>
      <c r="E40" s="121" t="s">
        <v>218</v>
      </c>
      <c r="F40" s="148" t="str">
        <f>IF(AND(
ISNUMBER(MATCH('Closed End Seconds (FL)'!U17, F3:F7, 0)),
ISNUMBER(MATCH('Closed End Seconds (FL)'!U18, I3, 0)),
ISNUMBER(MATCH('Closed End Seconds (FL)'!U10, B10:B11, 0)),
ISNUMBER(MATCH('Closed End Seconds (FL)'!U11, A9:A10, 0)),
'Closed End Seconds (FL)'!U13=C4
), NA(), "")</f>
        <v/>
      </c>
      <c r="G40" s="146" t="s">
        <v>225</v>
      </c>
      <c r="H40" s="149" t="str">
        <f>IF(AND(
ISNUMBER(MATCH('Closed End Seconds (FL)'!U17, F3:F6, 0)),
ISNUMBER(MATCH('Closed End Seconds (FL)'!U18, I3, 0)),
ISNUMBER(MATCH('Closed End Seconds (FL)'!U10, B10:B11, 0)),
ISNUMBER(MATCH('Closed End Seconds (FL)'!U11, A8:A10, 0)),
'Closed End Seconds (FL)'!U13=C5
), NA(), "")</f>
        <v/>
      </c>
      <c r="I40" s="151" t="s">
        <v>226</v>
      </c>
      <c r="J40" s="148" t="str" cm="1">
        <f t="array" ref="J40">IF(AND(OR('Closed End Seconds (FL)'!U17=F3:F6),OR('Closed End Seconds (FL)'!U18=I3),OR('Closed End Seconds (FL)'!U10=B9:B11),OR('Closed End Seconds (FL)'!U11=A9:A10),OR('Closed End Seconds (FL)'!U13=C3)),NA(),"")</f>
        <v/>
      </c>
      <c r="K40" s="145" t="s">
        <v>229</v>
      </c>
      <c r="L40" s="264" t="str" cm="1">
        <f t="array" ref="L40">IF(AND(OR('Closed End Seconds (FL)'!U17=F3:F6),OR('Closed End Seconds (FL)'!U18=I5),OR('Closed End Seconds (FL)'!U10=B8:B11),OR('Closed End Seconds (FL)'!U11=A10),OR('Closed End Seconds (FL)'!U13=C6)),NA(),"")</f>
        <v/>
      </c>
      <c r="S40"/>
      <c r="U40"/>
      <c r="V40"/>
      <c r="W40"/>
      <c r="X40"/>
      <c r="Y40"/>
      <c r="Z40"/>
      <c r="AA40"/>
      <c r="AB40"/>
      <c r="AC40" s="49" t="s">
        <v>31</v>
      </c>
    </row>
    <row r="41" spans="1:34">
      <c r="A41" s="128" t="s">
        <v>183</v>
      </c>
      <c r="B41" s="129" t="str">
        <f>IF('Closed End Seconds (FL)'!U22=N6,NA(),"")</f>
        <v/>
      </c>
      <c r="C41" s="59"/>
      <c r="D41" s="59"/>
      <c r="E41" s="121" t="s">
        <v>291</v>
      </c>
      <c r="F41" s="148" t="str" cm="1">
        <f t="array" ref="F41">IF(AND(OR('Closed End Seconds (FL)'!U17=F3:F6),OR('Closed End Seconds (FL)'!U18=I3),OR('Closed End Seconds (FL)'!U10=B10:B11),OR('Closed End Seconds (FL)'!U11=A10)),NA(),"")</f>
        <v/>
      </c>
      <c r="G41" s="146" t="s">
        <v>226</v>
      </c>
      <c r="H41" s="142" t="str">
        <f>IF(AND(
ISNUMBER(MATCH('Closed End Seconds (FL)'!U17, F3:F6, 0)),
ISNUMBER(MATCH('Closed End Seconds (FL)'!U18, I3, 0)),
ISNUMBER(MATCH('Closed End Seconds (FL)'!U10, B10:B11, 0)),
ISNUMBER(MATCH('Closed End Seconds (FL)'!U11, A9:A10, 0)),
'Closed End Seconds (FL)'!U13=C5
), NA(), "")</f>
        <v/>
      </c>
      <c r="I41" s="151" t="s">
        <v>202</v>
      </c>
      <c r="J41" s="143" t="str" cm="1">
        <f t="array" ref="J41">IF(AND(OR('Closed End Seconds (FL)'!U17=F7),OR('Closed End Seconds (FL)'!U18=I3),OR('Closed End Seconds (FL)'!U10=B9:B11),OR('Closed End Seconds (FL)'!U13=C3)),NA(),"")</f>
        <v/>
      </c>
      <c r="K41" s="145" t="s">
        <v>230</v>
      </c>
      <c r="L41" s="264" t="str" cm="1">
        <f t="array" ref="L41">IF(AND(OR('Closed End Seconds (FL)'!U17=F3:F6),OR('Closed End Seconds (FL)'!U18=I5),OR('Closed End Seconds (FL)'!U10=B7:B11),OR('Closed End Seconds (FL)'!U11=A9),OR('Closed End Seconds (FL)'!U13=C6)),NA(),"")</f>
        <v/>
      </c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</row>
    <row r="42" spans="1:34">
      <c r="A42" s="128" t="s">
        <v>155</v>
      </c>
      <c r="B42" s="129" t="str" cm="1">
        <f t="array" ref="B42">IF(AND(OR('Closed End Seconds (FL)'!U10=B11:B13),OR('Closed End Seconds (FL)'!U19=H4:H5)),NA(),"")</f>
        <v/>
      </c>
      <c r="C42" s="59"/>
      <c r="D42" s="59"/>
      <c r="E42" s="139" t="s">
        <v>244</v>
      </c>
      <c r="F42" s="149" t="str">
        <f>IF(AND(
ISNUMBER(MATCH('Closed End Seconds (FL)'!U17, F8, 0)),
ISNUMBER(MATCH('Closed End Seconds (FL)'!U18, I3, 0)),
ISNUMBER(MATCH('Closed End Seconds (FL)'!U10, B8:B11, 0)),
ISNUMBER(MATCH('Closed End Seconds (FL)'!U11, A10, 0)),
'Closed End Seconds (FL)'!U13=C4
), NA(), "")</f>
        <v/>
      </c>
      <c r="G42" s="151" t="s">
        <v>231</v>
      </c>
      <c r="H42" s="143" t="str" cm="1">
        <f t="array" ref="H42">IF(AND(OR('Closed End Seconds (FL)'!U17=F3:F8),OR('Closed End Seconds (FL)'!U18=I3),OR('Closed End Seconds (FL)'!U10=B9:B11),OR('Closed End Seconds (FL)'!U11=A10),OR('Closed End Seconds (FL)'!U13=C5)),NA(),"")</f>
        <v/>
      </c>
      <c r="I42" s="151" t="s">
        <v>213</v>
      </c>
      <c r="J42" s="143" t="str" cm="1">
        <f t="array" ref="J42">IF(AND(OR('Closed End Seconds (FL)'!U17=F7),OR('Closed End Seconds (FL)'!U18=I3),OR('Closed End Seconds (FL)'!U11=A8:A10),OR('Closed End Seconds (FL)'!U13=C3)),NA(),"")</f>
        <v/>
      </c>
      <c r="K42" s="145" t="s">
        <v>232</v>
      </c>
      <c r="L42" s="264" t="str" cm="1">
        <f t="array" ref="L42">IF(AND(OR('Closed End Seconds (FL)'!U17=F3:F6),OR('Closed End Seconds (FL)'!U18=I5),OR('Closed End Seconds (FL)'!U10=B6:B11),OR('Closed End Seconds (FL)'!U11=A10),OR('Closed End Seconds (FL)'!U13=C6)),NA(),"")</f>
        <v/>
      </c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</row>
    <row r="43" spans="1:34">
      <c r="A43" s="128" t="s">
        <v>158</v>
      </c>
      <c r="B43" s="124" t="str">
        <f>IF(AND(OR('Closed End Seconds (FL)'!U18=I4),OR('Closed End Seconds (FL)'!U19=H4)),NA(),"")</f>
        <v/>
      </c>
      <c r="C43" s="59"/>
      <c r="D43" s="59"/>
      <c r="E43" s="139" t="s">
        <v>245</v>
      </c>
      <c r="F43" s="149" t="str">
        <f>IF(AND(
ISNUMBER(MATCH('Closed End Seconds (FL)'!U17, F8, 0)),
ISNUMBER(MATCH('Closed End Seconds (FL)'!U18, I3, 0)),
ISNUMBER(MATCH('Closed End Seconds (FL)'!U10, B9:B11, 0)),
ISNUMBER(MATCH('Closed End Seconds (FL)'!U11, A9:A10, 0)),
'Closed End Seconds (FL)'!U13=C4
), NA(), "")</f>
        <v/>
      </c>
      <c r="G43" s="146" t="s">
        <v>248</v>
      </c>
      <c r="H43" s="142" t="str">
        <f>IF(AND(
ISNUMBER(MATCH('Closed End Seconds (FL)'!U17, F7:F8, 0)),
ISNUMBER(MATCH('Closed End Seconds (FL)'!U18, I3, 0)),
ISNUMBER(MATCH('Closed End Seconds (FL)'!U10, B9:B11, 0)),
ISNUMBER(MATCH('Closed End Seconds (FL)'!U11, A9:A10, 0)),
'Closed End Seconds (FL)'!U13=C5
), NA(), "")</f>
        <v/>
      </c>
      <c r="I43" s="151" t="s">
        <v>214</v>
      </c>
      <c r="J43" s="143" t="str" cm="1">
        <f t="array" ref="J43">IF(AND(OR('Closed End Seconds (FL)'!U17=F8),OR('Closed End Seconds (FL)'!U18=I3),OR('Closed End Seconds (FL)'!U11=A8:A10),OR('Closed End Seconds (FL)'!U13=C3)),NA(),"")</f>
        <v/>
      </c>
      <c r="K43" s="145" t="s">
        <v>205</v>
      </c>
      <c r="L43" s="264" t="str" cm="1">
        <f t="array" ref="L43">IF(AND(OR('Closed End Seconds (FL)'!U17=F7),OR('Closed End Seconds (FL)'!U18=I5),OR('Closed End Seconds (FL)'!U10=B7:B11),OR('Closed End Seconds (FL)'!U13=C6)),NA(),"")</f>
        <v/>
      </c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4">
      <c r="A44" s="123" t="s">
        <v>179</v>
      </c>
      <c r="B44" s="124" t="str">
        <f>IF(AND('Closed End Seconds (FL)'!U13=C3,'Closed End Seconds (FL)'!U23=O4),NA(),"")</f>
        <v/>
      </c>
      <c r="D44" s="59"/>
      <c r="E44" s="121" t="s">
        <v>196</v>
      </c>
      <c r="F44" s="143" t="str" cm="1">
        <f t="array" ref="F44">IF(AND(OR('Closed End Seconds (FL)'!U17=F7),OR('Closed End Seconds (FL)'!U18=I3),OR('Closed End Seconds (FL)'!U10=B8:B11),OR('Closed End Seconds (FL)'!U11=A10)),NA(),"")</f>
        <v/>
      </c>
      <c r="G44" s="151" t="s">
        <v>203</v>
      </c>
      <c r="H44" s="150"/>
      <c r="I44" s="146"/>
      <c r="J44" s="149"/>
      <c r="K44" s="145" t="s">
        <v>206</v>
      </c>
      <c r="L44" s="264" t="str" cm="1">
        <f t="array" ref="L44">IF(AND(OR('Closed End Seconds (FL)'!U17=F7),OR('Closed End Seconds (FL)'!U18=I5),OR('Closed End Seconds (FL)'!U10=B6:B11),OR('Closed End Seconds (FL)'!U11=A8:A10),OR('Closed End Seconds (FL)'!U13=C6)),NA(),"")</f>
        <v/>
      </c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ht="16" thickBot="1">
      <c r="A45" s="123" t="s">
        <v>164</v>
      </c>
      <c r="B45" s="124" t="str">
        <f>IF('Closed End Seconds (FL)'!U23=O3,NA(),"")</f>
        <v/>
      </c>
      <c r="D45" s="59"/>
      <c r="E45" s="141" t="s">
        <v>219</v>
      </c>
      <c r="F45" s="150"/>
      <c r="G45" s="151" t="s">
        <v>204</v>
      </c>
      <c r="H45" s="150"/>
      <c r="I45" s="265" t="s">
        <v>215</v>
      </c>
      <c r="J45" s="152" t="str" cm="1">
        <f t="array" ref="J45">IF(AND(OR('Closed End Seconds (FL)'!U10=B7:B11),OR('Closed End Seconds (FL)'!U19=H4),OR('Closed End Seconds (FL)'!U17=F8)),NA(),"")</f>
        <v/>
      </c>
      <c r="K45" s="145" t="s">
        <v>207</v>
      </c>
      <c r="L45" s="264" t="str" cm="1">
        <f t="array" ref="L45">IF(AND(OR('Closed End Seconds (FL)'!U17=F7),OR('Closed End Seconds (FL)'!U18=I5),OR('Closed End Seconds (FL)'!U10=B5:B11),OR('Closed End Seconds (FL)'!U11=A9:A10),OR('Closed End Seconds (FL)'!U13=C6)),NA(),"")</f>
        <v/>
      </c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>
      <c r="A46" s="128" t="s">
        <v>181</v>
      </c>
      <c r="B46" s="129" t="str">
        <f>IF(AND('Closed End Seconds (FL)'!U13=C3,'Closed End Seconds (FL)'!U24=P3),NA(),"")</f>
        <v/>
      </c>
      <c r="C46" s="59"/>
      <c r="D46" s="59"/>
      <c r="E46" s="122" t="s">
        <v>220</v>
      </c>
      <c r="F46" s="143"/>
      <c r="G46" s="146" t="s">
        <v>247</v>
      </c>
      <c r="H46" s="142" t="str" cm="1">
        <f t="array" ref="H46">IF(AND(OR('Closed End Seconds (FL)'!U17=F7:F8),OR('Closed End Seconds (FL)'!U18=I3),OR('Closed End Seconds (FL)'!U10=B8:B11),OR('Closed End Seconds (FL)'!U11=A10),OR('Closed End Seconds (FL)'!U13=C5)),NA(),"")</f>
        <v/>
      </c>
      <c r="K46" s="145" t="s">
        <v>208</v>
      </c>
      <c r="L46" s="264" t="str" cm="1">
        <f t="array" ref="L46">IF(AND(OR('Closed End Seconds (FL)'!U17=F7),OR('Closed End Seconds (FL)'!U18=I5),OR('Closed End Seconds (FL)'!U10=B4:B11),OR('Closed End Seconds (FL)'!U11=A10),OR('Closed End Seconds (FL)'!U13=C6)),NA(),"")</f>
        <v/>
      </c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</row>
    <row r="47" spans="1:34">
      <c r="A47" s="128" t="s">
        <v>165</v>
      </c>
      <c r="B47" s="129" t="str">
        <f>IF('Closed End Seconds (FL)'!U24=P5,NA(),"")</f>
        <v/>
      </c>
      <c r="D47" s="59"/>
      <c r="E47" s="140" t="s">
        <v>255</v>
      </c>
      <c r="F47" s="142" t="str">
        <f>IF(AND(
ISNUMBER(MATCH('Closed End Seconds (FL)'!U17, F3:F6, 0)),
ISNUMBER(MATCH('Closed End Seconds (FL)'!U18, I5, 0)),
ISNUMBER(MATCH('Closed End Seconds (FL)'!U10, B9:B11, 0)),
ISNUMBER(MATCH('Closed End Seconds (FL)'!U11, A10, 0)),
'Closed End Seconds (FL)'!U13=C4
), NA(), "")</f>
        <v/>
      </c>
      <c r="G47" s="146" t="s">
        <v>228</v>
      </c>
      <c r="H47" s="142" t="str" cm="1">
        <f t="array" ref="H47">IF(AND(OR('Closed End Seconds (FL)'!U17=F3:F6),OR('Closed End Seconds (FL)'!U18=I5),OR('Closed End Seconds (FL)'!U10=B10:B11),OR('Closed End Seconds (FL)'!U13=C5)),NA(),"")</f>
        <v/>
      </c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</row>
    <row r="48" spans="1:34">
      <c r="A48" s="123" t="s">
        <v>167</v>
      </c>
      <c r="B48" s="124" t="str">
        <f>IF(E143="","",IF('Closed End Seconds (FL)'!U9&gt;E143,NA(),""))</f>
        <v/>
      </c>
      <c r="C48" s="59"/>
      <c r="D48" s="59"/>
      <c r="E48" s="141" t="s">
        <v>197</v>
      </c>
      <c r="F48" s="150"/>
      <c r="G48" s="151" t="s">
        <v>229</v>
      </c>
      <c r="H48" s="143" t="str" cm="1">
        <f t="array" ref="H48">IF(AND(OR('Closed End Seconds (FL)'!U17=F3:F6),OR('Closed End Seconds (FL)'!U18=I5),OR('Closed End Seconds (FL)'!U10=B8:B11),OR('Closed End Seconds (FL)'!U11=A9:A10),OR('Closed End Seconds (FL)'!U13=C5)),NA(),"")</f>
        <v/>
      </c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</row>
    <row r="49" spans="1:31" ht="16" thickBot="1">
      <c r="A49" s="128"/>
      <c r="B49" s="129"/>
      <c r="C49" s="59"/>
      <c r="D49" s="59"/>
      <c r="E49" s="122" t="s">
        <v>198</v>
      </c>
      <c r="F49" s="143" t="str" cm="1">
        <f t="array" ref="F49">IF(AND(OR('Closed End Seconds (FL)'!U17=F7),OR('Closed End Seconds (FL)'!U18=I5),OR('Closed End Seconds (FL)'!U10=B9:B11),OR('Closed End Seconds (FL)'!U11=A8)),NA(),"")</f>
        <v/>
      </c>
      <c r="G49" s="151" t="s">
        <v>230</v>
      </c>
      <c r="H49" s="143" t="str" cm="1">
        <f t="array" ref="H49">IF(AND(OR('Closed End Seconds (FL)'!U17=F3:F6),OR('Closed End Seconds (FL)'!U18=I5),OR('Closed End Seconds (FL)'!U10=B8:B11),OR('Closed End Seconds (FL)'!U11=A9),OR('Closed End Seconds (FL)'!U13=C5)),NA(),"")</f>
        <v/>
      </c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s="128"/>
      <c r="B50" s="129"/>
      <c r="C50" s="59"/>
      <c r="D50" s="59"/>
      <c r="E50" s="140" t="s">
        <v>258</v>
      </c>
      <c r="F50" s="142" t="str" cm="1">
        <f t="array" ref="F50">IF(AND(OR('Closed End Seconds (FL)'!U17=F7),OR('Closed End Seconds (FL)'!U18=I5),OR('Closed End Seconds (FL)'!U10=B11),OR('Closed End Seconds (FL)'!U11=A9:A10)),NA(),"")</f>
        <v/>
      </c>
      <c r="G50" s="151" t="s">
        <v>232</v>
      </c>
      <c r="H50" s="143" t="str" cm="1">
        <f t="array" ref="H50">IF(AND(OR('Closed End Seconds (FL)'!U17=F3:F6),OR('Closed End Seconds (FL)'!U18=I5),OR('Closed End Seconds (FL)'!U10=B7:B11),OR('Closed End Seconds (FL)'!U11=A10),OR('Closed End Seconds (FL)'!U13=C5)),NA(),"")</f>
        <v/>
      </c>
      <c r="I50" s="151" t="s">
        <v>174</v>
      </c>
      <c r="J50" s="147" t="str" cm="1">
        <f t="array" ref="J50">IF(AND(OR('Closed End Seconds (FL)'!U13=C3),OR('Closed End Seconds (FL)'!U18=I4:I5)),NA(),"")</f>
        <v/>
      </c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</row>
    <row r="51" spans="1:31">
      <c r="A51" s="125"/>
      <c r="B51" s="129"/>
      <c r="C51" s="103"/>
      <c r="D51" s="59"/>
      <c r="E51" s="140" t="s">
        <v>256</v>
      </c>
      <c r="F51" s="142" t="str">
        <f>IF(AND(
ISNUMBER(MATCH('Closed End Seconds (FL)'!U17, F7, 0)),
ISNUMBER(MATCH('Closed End Seconds (FL)'!U18, I5, 0)),
ISNUMBER(MATCH('Closed End Seconds (FL)'!U10, B8:B11, 0)),
ISNUMBER(MATCH('Closed End Seconds (FL)'!U11, A10, 0)),
'Closed End Seconds (FL)'!U13=C4
), NA(), "")</f>
        <v/>
      </c>
      <c r="G51" s="151" t="s">
        <v>205</v>
      </c>
      <c r="H51" s="143"/>
      <c r="I51" s="265" t="s">
        <v>172</v>
      </c>
      <c r="J51" s="153" t="str">
        <f>IF(AND(OR('Closed End Seconds (FL)'!U13=C3),OR('Closed End Seconds (FL)'!U19=H4)),NA(),"")</f>
        <v/>
      </c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</row>
    <row r="52" spans="1:31">
      <c r="A52" s="128"/>
      <c r="B52" s="129"/>
      <c r="C52" s="103"/>
      <c r="D52" s="59"/>
      <c r="E52" s="122" t="s">
        <v>221</v>
      </c>
      <c r="F52" s="143" t="str" cm="1">
        <f t="array" ref="F52">IF(AND(OR('Closed End Seconds (FL)'!U17=F3:F6),OR('Closed End Seconds (FL)'!U18=I4),OR('Closed End Seconds (FL)'!U10=B10:B11)),NA(),"")</f>
        <v/>
      </c>
      <c r="G52" s="151" t="s">
        <v>206</v>
      </c>
      <c r="H52" s="143" t="str" cm="1">
        <f t="array" ref="H52">IF(AND(OR('Closed End Seconds (FL)'!U17=F7),OR('Closed End Seconds (FL)'!U18=I5),OR('Closed End Seconds (FL)'!U10=B6:B11),OR('Closed End Seconds (FL)'!U11=A10),OR('Closed End Seconds (FL)'!U13=C5)),NA(),"")</f>
        <v/>
      </c>
      <c r="I52" s="151" t="s">
        <v>173</v>
      </c>
      <c r="J52" s="143" t="str">
        <f>IF(AND(OR('Closed End Seconds (FL)'!U13=C3),OR('Closed End Seconds (FL)'!U12=M4)),NA(),"")</f>
        <v/>
      </c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</row>
    <row r="53" spans="1:31" ht="16" thickBot="1">
      <c r="A53" s="130"/>
      <c r="B53" s="129"/>
      <c r="C53" s="103"/>
      <c r="D53" s="59"/>
      <c r="E53" s="122" t="s">
        <v>222</v>
      </c>
      <c r="F53" s="143" t="str" cm="1">
        <f t="array" ref="F53">IF(AND(OR('Closed End Seconds (FL)'!U17=F3:F6),OR('Closed End Seconds (FL)'!U18=I4),OR('Closed End Seconds (FL)'!U10=B9:B11),OR('Closed End Seconds (FL)'!U11=A9:A10)),NA(),"")</f>
        <v/>
      </c>
      <c r="G53" s="151" t="s">
        <v>207</v>
      </c>
      <c r="H53" s="143" t="str" cm="1">
        <f t="array" ref="H53">IF(AND(OR('Closed End Seconds (FL)'!U17=F8),OR('Closed End Seconds (FL)'!U18=I5),OR('Closed End Seconds (FL)'!U10=B5:B11),OR('Closed End Seconds (FL)'!U11=A10),OR('Closed End Seconds (FL)'!U13=C5)),NA(),"")</f>
        <v/>
      </c>
      <c r="I53" s="151" t="s">
        <v>175</v>
      </c>
      <c r="J53" s="144" t="str">
        <f>IF(AND(OR('Closed End Seconds (FL)'!U11=A10),OR('Closed End Seconds (FL)'!U13=C3)),NA(),"")</f>
        <v/>
      </c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</row>
    <row r="54" spans="1:31">
      <c r="A54" s="130"/>
      <c r="B54" s="129"/>
      <c r="C54" s="103"/>
      <c r="D54" s="59"/>
      <c r="E54" s="122" t="s">
        <v>223</v>
      </c>
      <c r="F54" s="143" t="str" cm="1">
        <f t="array" ref="F54">IF(AND(OR('Closed End Seconds (FL)'!U17=F3:F6),OR('Closed End Seconds (FL)'!U18=I4),OR('Closed End Seconds (FL)'!U10=B6:B11),OR('Closed End Seconds (FL)'!U11=A10)),NA(),"")</f>
        <v/>
      </c>
      <c r="G54" s="151" t="s">
        <v>208</v>
      </c>
      <c r="H54" s="143" t="str" cm="1">
        <f t="array" ref="H54">IF(AND(OR('Closed End Seconds (FL)'!U17=F8),OR('Closed End Seconds (FL)'!U18=I5),OR('Closed End Seconds (FL)'!U10=B4:B11),OR('Closed End Seconds (FL)'!U11=A9),OR('Closed End Seconds (FL)'!U13=C5)),NA(),"")</f>
        <v/>
      </c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s="130"/>
      <c r="B55" s="124"/>
      <c r="D55" s="59"/>
      <c r="E55" s="122" t="s">
        <v>199</v>
      </c>
      <c r="F55" s="143" t="str" cm="1">
        <f t="array" ref="F55">IF(AND(OR('Closed End Seconds (FL)'!U17=F7),OR('Closed End Seconds (FL)'!U18=I4),OR('Closed End Seconds (FL)'!U10=B8:B11)),NA(),"")</f>
        <v/>
      </c>
      <c r="G55" s="151" t="s">
        <v>233</v>
      </c>
      <c r="H55" s="143" t="str" cm="1">
        <f t="array" ref="H55">IF(AND(OR('Closed End Seconds (FL)'!U17=F3:F6),OR('Closed End Seconds (FL)'!U18=I4),OR('Closed End Seconds (FL)'!U10=B9:B11),OR('Closed End Seconds (FL)'!U13=C5)),NA(),"")</f>
        <v/>
      </c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</row>
    <row r="56" spans="1:31">
      <c r="A56" s="130"/>
      <c r="B56" s="124"/>
      <c r="D56" s="59"/>
      <c r="E56" s="122" t="s">
        <v>200</v>
      </c>
      <c r="F56" s="143" t="str" cm="1">
        <f t="array" ref="F56">IF(AND(OR('Closed End Seconds (FL)'!U17=F7),OR('Closed End Seconds (FL)'!U18=I4),OR('Closed End Seconds (FL)'!U10=B7:B11),OR('Closed End Seconds (FL)'!U11=A9:A10)),NA(),"")</f>
        <v/>
      </c>
      <c r="G56" s="151" t="s">
        <v>234</v>
      </c>
      <c r="H56" s="143" t="str" cm="1">
        <f t="array" ref="H56">IF(AND(OR('Closed End Seconds (FL)'!U17=F3:F6),OR('Closed End Seconds (FL)'!U18=I4),OR('Closed End Seconds (FL)'!U10=B8:B11),OR('Closed End Seconds (FL)'!U11=A8:A10),OR('Closed End Seconds (FL)'!U13=C5)),NA(),"")</f>
        <v/>
      </c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</row>
    <row r="57" spans="1:31">
      <c r="A57" s="130"/>
      <c r="B57" s="124"/>
      <c r="D57" s="59"/>
      <c r="E57" s="122" t="s">
        <v>201</v>
      </c>
      <c r="F57" s="143" t="str" cm="1">
        <f t="array" ref="F57">IF(AND(OR('Closed End Seconds (FL)'!U17=F7),OR('Closed End Seconds (FL)'!U18=I4),OR('Closed End Seconds (FL)'!U10=B6:B11),OR('Closed End Seconds (FL)'!U11=A10)),NA(),"")</f>
        <v/>
      </c>
      <c r="G57" s="151" t="s">
        <v>235</v>
      </c>
      <c r="H57" s="143" t="str" cm="1">
        <f t="array" ref="H57">IF(AND(OR('Closed End Seconds (FL)'!U17=F3:F6),OR('Closed End Seconds (FL)'!U18=I4),OR('Closed End Seconds (FL)'!U10=B7:B11),OR('Closed End Seconds (FL)'!U11=A9:A10),OR('Closed End Seconds (FL)'!U13=C5)),NA(),"")</f>
        <v/>
      </c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</row>
    <row r="58" spans="1:31">
      <c r="A58" s="130"/>
      <c r="B58" s="124"/>
      <c r="D58" s="59"/>
      <c r="E58" s="139" t="s">
        <v>246</v>
      </c>
      <c r="F58" s="143" t="str">
        <f>IF(AND(ISNUMBER(MATCH('Closed End Seconds (FL)'!U17,F8,0)),ISNUMBER(MATCH('Closed End Seconds (FL)'!U18,I3,0)),ISNUMBER(MATCH('Closed End Seconds (FL)'!U10,B10:B11,0)),
ISNUMBER(MATCH('Closed End Seconds (FL)'!U11,A3:A10,0)),'Closed End Seconds (FL)'!U13=C4),NA(),"")</f>
        <v/>
      </c>
      <c r="G58" s="151" t="s">
        <v>223</v>
      </c>
      <c r="H58" s="143" t="str" cm="1">
        <f t="array" ref="H58">IF(AND(OR('Closed End Seconds (FL)'!U17=F3:F6),OR('Closed End Seconds (FL)'!U18=I4),OR('Closed End Seconds (FL)'!U10=B6:B11),OR('Closed End Seconds (FL)'!U11=A10),OR('Closed End Seconds (FL)'!U13=C5)),NA(),"")</f>
        <v/>
      </c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</row>
    <row r="59" spans="1:31">
      <c r="A59" s="130"/>
      <c r="B59" s="129"/>
      <c r="C59" s="59"/>
      <c r="E59" s="140" t="s">
        <v>257</v>
      </c>
      <c r="F59" s="143" t="str">
        <f>IF(AND(
ISNUMBER(MATCH('Closed End Seconds (FL)'!U17,F8,0)),ISNUMBER(MATCH('Closed End Seconds (FL)'!U18,I5,0)),ISNUMBER(MATCH('Closed End Seconds (FL)'!U10,B7:B11,0)),
ISNUMBER(MATCH('Closed End Seconds (FL)'!U11,A10,0)),'Closed End Seconds (FL)'!U13=C4),NA(),"")</f>
        <v/>
      </c>
      <c r="G59" s="151" t="s">
        <v>209</v>
      </c>
      <c r="H59" s="143" t="str" cm="1">
        <f t="array" ref="H59">IF(AND(OR('Closed End Seconds (FL)'!U17=F7),OR('Closed End Seconds (FL)'!U18=I4),OR('Closed End Seconds (FL)'!U10=B7:B11),OR('Closed End Seconds (FL)'!U13=C5)),NA(),"")</f>
        <v/>
      </c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s="125"/>
      <c r="B60" s="129"/>
      <c r="E60" s="140" t="s">
        <v>259</v>
      </c>
      <c r="F60" s="143" t="str">
        <f>IF(AND(ISNUMBER(MATCH('Closed End Seconds (FL)'!U17,F3:F6,0)),ISNUMBER(MATCH('Closed End Seconds (FL)'!U18,I5,0)),
ISNUMBER(MATCH('Closed End Seconds (FL)'!U10,B9:B11,0)),ISNUMBER(MATCH('Closed End Seconds (FL)'!U11,A10,0)),'Closed End Seconds (FL)'!U13=C4),NA(),"")</f>
        <v/>
      </c>
      <c r="G60" s="151" t="s">
        <v>210</v>
      </c>
      <c r="H60" s="143" t="str" cm="1">
        <f t="array" ref="H60">IF(AND(OR('Closed End Seconds (FL)'!U17=F7),OR('Closed End Seconds (FL)'!U18=I4),OR('Closed End Seconds (FL)'!U10=B6:B11),OR('Closed End Seconds (FL)'!U11=A8:A10),OR('Closed End Seconds (FL)'!U13=C5)),NA(),"")</f>
        <v/>
      </c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</row>
    <row r="61" spans="1:31">
      <c r="A61" s="125"/>
      <c r="B61" s="129"/>
      <c r="E61" s="140" t="s">
        <v>260</v>
      </c>
      <c r="F61" s="143" t="str">
        <f>IF(AND(
ISNUMBER(MATCH('Closed End Seconds (FL)'!U17, F7, 0)),
ISNUMBER(MATCH('Closed End Seconds (FL)'!U18, I5, 0)),
ISNUMBER(MATCH('Closed End Seconds (FL)'!U10, B7:B11, 0)),
ISNUMBER(MATCH('Closed End Seconds (FL)'!U11, A10, 0)),
'Closed End Seconds (FL)'!U13=C4
), NA(), "")</f>
        <v/>
      </c>
      <c r="G61" s="151" t="s">
        <v>211</v>
      </c>
      <c r="H61" s="143" t="str" cm="1">
        <f t="array" ref="H61">IF(AND(OR('Closed End Seconds (FL)'!U17=F7),OR('Closed End Seconds (FL)'!U18=I4),OR('Closed End Seconds (FL)'!U10=B5:B11),OR('Closed End Seconds (FL)'!U11=A9:A10),OR('Closed End Seconds (FL)'!U13=C5)),NA(),"")</f>
        <v/>
      </c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 s="123"/>
      <c r="B62" s="124"/>
      <c r="E62" s="140" t="s">
        <v>261</v>
      </c>
      <c r="F62" s="143" t="str">
        <f>IF(AND(
ISNUMBER(MATCH('Closed End Seconds (FL)'!U17, F8, 0)),
ISNUMBER(MATCH('Closed End Seconds (FL)'!U18, I5, 0)),
ISNUMBER(MATCH('Closed End Seconds (FL)'!U10, B6:B11, 0)),
ISNUMBER(MATCH('Closed End Seconds (FL)'!U11, A10, 0)),
'Closed End Seconds (FL)'!U13=C4
), NA(), "")</f>
        <v/>
      </c>
      <c r="G62" s="151" t="s">
        <v>212</v>
      </c>
      <c r="H62" s="143" t="str" cm="1">
        <f t="array" ref="H62">IF(AND(OR('Closed End Seconds (FL)'!U17=F7),OR('Closed End Seconds (FL)'!U18=I4),OR('Closed End Seconds (FL)'!U10=B4:B11),OR('Closed End Seconds (FL)'!U11=A10),OR('Closed End Seconds (FL)'!U13=C5)),NA(),"")</f>
        <v/>
      </c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  <row r="63" spans="1:31" ht="16" thickBot="1">
      <c r="A63" s="131"/>
      <c r="B63" s="132" t="str" cm="1">
        <f t="array" ref="B63">IF(AND(OR('Closed End Seconds (FL)'!U10=B11:B12),OR('Closed End Seconds (FL)'!U20=J5:J6,'Closed End Seconds (FL)'!U20=J9,'Closed End Seconds (FL)'!U20=J12)),NA(),"")</f>
        <v/>
      </c>
      <c r="E63" s="140" t="s">
        <v>262</v>
      </c>
      <c r="F63" s="143" t="str">
        <f>IF(AND(
ISNUMBER(MATCH('Closed End Seconds (FL)'!U17, F8, 0)),
ISNUMBER(MATCH('Closed End Seconds (FL)'!U18, I5, 0)),
ISNUMBER(MATCH('Closed End Seconds (FL)'!U10, B7:B11, 0)),
ISNUMBER(MATCH('Closed End Seconds (FL)'!U11, A9, 0)),
'Closed End Seconds (FL)'!U13=C4
), NA(), "")</f>
        <v/>
      </c>
      <c r="G63" s="146" t="s">
        <v>250</v>
      </c>
      <c r="H63" s="143" t="str">
        <f>IF(AND(
ISNUMBER(MATCH('Closed End Seconds (FL)'!U17, F8, 0)),
ISNUMBER(MATCH('Closed End Seconds (FL)'!U18, I3, 0)),
ISNUMBER(MATCH('Closed End Seconds (FL)'!U10, B8:B11, 0)),
ISNUMBER(MATCH('Closed End Seconds (FL)'!U11, A9:A10, 0)),
'Closed End Seconds (FL)'!U13=C5
), NA(), "")</f>
        <v/>
      </c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</row>
    <row r="64" spans="1:31" ht="16" thickBot="1">
      <c r="A64" s="133" t="s">
        <v>120</v>
      </c>
      <c r="B64" s="134">
        <f>SUM(B39:B63)+SUM(F39:F76)+SUM(H39:H76)+SUM(L39:L71)+SUM(J39:J71)+SUM(Z43:Z45)+SUM(AD43)</f>
        <v>0</v>
      </c>
      <c r="E64" s="140" t="s">
        <v>263</v>
      </c>
      <c r="F64" s="143" t="str">
        <f>IF(AND(
ISNUMBER(MATCH('Closed End Seconds (FL)'!U17, F7, 0)),
ISNUMBER(MATCH('Closed End Seconds (FL)'!U18, I5, 0)),
ISNUMBER(MATCH('Closed End Seconds (FL)'!U10, B8:B11, 0)),
ISNUMBER(MATCH('Closed End Seconds (FL)'!U11, A9, 0)),
'Closed End Seconds (FL)'!U13=C4
), NA(), "")</f>
        <v/>
      </c>
      <c r="G64" s="146" t="s">
        <v>249</v>
      </c>
      <c r="H64" s="142" t="str">
        <f>IF(AND(
ISNUMBER(MATCH('Closed End Seconds (FL)'!U17, F7:F8, 0)),
ISNUMBER(MATCH('Closed End Seconds (FL)'!U18, I3, 0)),
ISNUMBER(MATCH('Closed End Seconds (FL)'!U10, B10:B11, 0)),
ISNUMBER(MATCH('Closed End Seconds (FL)'!U11, A8:A10, 0)),
'Closed End Seconds (FL)'!U13=C5
), NA(), "")</f>
        <v/>
      </c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</row>
    <row r="65" spans="1:31">
      <c r="A65" s="102"/>
      <c r="B65" s="102"/>
      <c r="E65" s="140" t="s">
        <v>264</v>
      </c>
      <c r="F65" s="143" t="str">
        <f>IF(AND(
ISNUMBER(MATCH('Closed End Seconds (FL)'!U17, F3:F6, 0)),
ISNUMBER(MATCH('Closed End Seconds (FL)'!U18, I5, 0)),
ISNUMBER(MATCH('Closed End Seconds (FL)'!U10, B10:B11, 0)),
ISNUMBER(MATCH('Closed End Seconds (FL)'!U11, A9, 0)),
'Closed End Seconds (FL)'!U13=C4
), NA(), "")</f>
        <v/>
      </c>
      <c r="G65" s="146" t="s">
        <v>251</v>
      </c>
      <c r="H65" s="143" t="str">
        <f>IF(AND(
ISNUMBER(MATCH('Closed End Seconds (FL)'!U17, F8, 0)),
ISNUMBER(MATCH('Closed End Seconds (FL)'!U18, I3, 0)),
ISNUMBER(MATCH('Closed End Seconds (FL)'!U10, B9:B11, 0)),
ISNUMBER(MATCH('Closed End Seconds (FL)'!U11, A8:A10, 0)),
'Closed End Seconds (FL)'!U13=C5
), NA(), "")</f>
        <v/>
      </c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</row>
    <row r="66" spans="1:31" ht="16" thickBot="1">
      <c r="A66"/>
      <c r="B66" s="59"/>
      <c r="E66" s="140" t="s">
        <v>265</v>
      </c>
      <c r="F66" s="143" t="str">
        <f>IF(AND(
ISNUMBER(MATCH('Closed End Seconds (FL)'!U17, F3:F6, 0)),
ISNUMBER(MATCH('Closed End Seconds (FL)'!U18, I5, 0)),
ISNUMBER(MATCH('Closed End Seconds (FL)'!U10, B11, 0)),
ISNUMBER(MATCH('Closed End Seconds (FL)'!U11, A3:A8, 0)),
'Closed End Seconds (FL)'!U13=C4
), NA(), "")</f>
        <v/>
      </c>
      <c r="G66" s="146" t="s">
        <v>252</v>
      </c>
      <c r="H66" s="143" t="str">
        <f>IF(AND(
ISNUMBER(MATCH('Closed End Seconds (FL)'!U17, F7:F8, 0)),
ISNUMBER(MATCH('Closed End Seconds (FL)'!U18, I3, 0)),
ISNUMBER(MATCH('Closed End Seconds (FL)'!U10, B11, 0)),
ISNUMBER(MATCH('Closed End Seconds (FL)'!U11, A3:A7, 0)),
'Closed End Seconds (FL)'!U13=C5
), NA(), "")</f>
        <v/>
      </c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</row>
    <row r="67" spans="1:31" ht="22" thickBot="1">
      <c r="A67" s="271" t="s">
        <v>292</v>
      </c>
      <c r="B67" s="272">
        <v>0</v>
      </c>
      <c r="C67"/>
      <c r="E67" s="140" t="s">
        <v>266</v>
      </c>
      <c r="F67" s="143" t="str">
        <f>IF(AND(
ISNUMBER(MATCH('Closed End Seconds (FL)'!U17, F7, 0)),
ISNUMBER(MATCH('Closed End Seconds (FL)'!U18, I5, 0)),
ISNUMBER(MATCH('Closed End Seconds (FL)'!U10, B9:B11, 0)),
ISNUMBER(MATCH('Closed End Seconds (FL)'!U11, A8, 0)),
'Closed End Seconds (FL)'!U13=C4
), NA(), "")</f>
        <v/>
      </c>
      <c r="G67" s="146" t="s">
        <v>253</v>
      </c>
      <c r="H67" s="143" t="str">
        <f>IF(AND(
ISNUMBER(MATCH('Closed End Seconds (FL)'!U17, F8, 0)),
ISNUMBER(MATCH('Closed End Seconds (FL)'!U18, I3, 0)),
ISNUMBER(MATCH('Closed End Seconds (FL)'!U10, B10:B11, 0)),
ISNUMBER(MATCH('Closed End Seconds (FL)'!U11, A3:A7, 0)),
'Closed End Seconds (FL)'!U13=C5
), NA(), "")</f>
        <v/>
      </c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</row>
    <row r="68" spans="1:31">
      <c r="A68"/>
      <c r="B68" s="59"/>
      <c r="C68"/>
      <c r="E68" s="140" t="s">
        <v>267</v>
      </c>
      <c r="F68" s="143" t="str">
        <f>IF(AND(
ISNUMBER(MATCH('Closed End Seconds (FL)'!U17, F8, 0)),
ISNUMBER(MATCH('Closed End Seconds (FL)'!U18, I5, 0)),
ISNUMBER(MATCH('Closed End Seconds (FL)'!U10, B8:B11, 0)),
ISNUMBER(MATCH('Closed End Seconds (FL)'!U11, A8, 0)),
'Closed End Seconds (FL)'!U13=C4
), NA(), "")</f>
        <v/>
      </c>
      <c r="G68" s="146" t="s">
        <v>254</v>
      </c>
      <c r="H68" s="143" t="str">
        <f>IF(AND(
ISNUMBER(MATCH('Closed End Seconds (FL)'!U17, F8, 0)),
ISNUMBER(MATCH('Closed End Seconds (FL)'!U18, I3, 0)),
ISNUMBER(MATCH('Closed End Seconds (FL)'!U10, B7:B11, 0)),
ISNUMBER(MATCH('Closed End Seconds (FL)'!U11, A10, 0)),
'Closed End Seconds (FL)'!U13=C5
), NA(), "")</f>
        <v/>
      </c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</row>
    <row r="69" spans="1:31">
      <c r="A69"/>
      <c r="B69" s="59"/>
      <c r="C69"/>
      <c r="E69" s="140" t="s">
        <v>268</v>
      </c>
      <c r="F69" s="143" t="str">
        <f>IF(AND(
ISNUMBER(MATCH('Closed End Seconds (FL)'!U17, F7, 0)),
ISNUMBER(MATCH('Closed End Seconds (FL)'!U18, I5, 0)),
ISNUMBER(MATCH('Closed End Seconds (FL)'!U10, B10:B11, 0)),
ISNUMBER(MATCH('Closed End Seconds (FL)'!U11, A3:A7, 0)),
'Closed End Seconds (FL)'!U13=C4
), NA(), "")</f>
        <v/>
      </c>
      <c r="G69" s="146" t="s">
        <v>270</v>
      </c>
      <c r="H69" s="143" t="str">
        <f>IF(AND(
ISNUMBER(MATCH('Closed End Seconds (FL)'!U17, F8, 0)),
ISNUMBER(MATCH('Closed End Seconds (FL)'!U18, I5, 0)),
ISNUMBER(MATCH('Closed End Seconds (FL)'!U10, B7:B11, 0)),
ISNUMBER(MATCH('Closed End Seconds (FL)'!U11, A10, 0)),
'Closed End Seconds (FL)'!U13=C5
), NA(), "")</f>
        <v/>
      </c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</row>
    <row r="70" spans="1:31" ht="16" thickBot="1">
      <c r="A70" t="s">
        <v>357</v>
      </c>
      <c r="B70" s="59"/>
      <c r="C70"/>
      <c r="E70" s="140" t="s">
        <v>269</v>
      </c>
      <c r="F70" s="144" t="str">
        <f>IF(AND(
ISNUMBER(MATCH('Closed End Seconds (FL)'!U17, F8, 0)),
ISNUMBER(MATCH('Closed End Seconds (FL)'!U18, I5, 0)),
ISNUMBER(MATCH('Closed End Seconds (FL)'!U10, B9:B11, 0)),
ISNUMBER(MATCH('Closed End Seconds (FL)'!U11, A3:A7, 0)),
'Closed End Seconds (FL)'!U13=C4
), NA(), "")</f>
        <v/>
      </c>
      <c r="G70" s="146" t="s">
        <v>271</v>
      </c>
      <c r="H70" s="143" t="str">
        <f>IF(AND(
ISNUMBER(MATCH('Closed End Seconds (FL)'!U17, F7, 0)),
ISNUMBER(MATCH('Closed End Seconds (FL)'!U18, I5, 0)),
ISNUMBER(MATCH('Closed End Seconds (FL)'!U10, B8:B11, 0)),
ISNUMBER(MATCH('Closed End Seconds (FL)'!U11, A8, 0)),
'Closed End Seconds (FL)'!U13=C5
), NA(), "")</f>
        <v/>
      </c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</row>
    <row r="71" spans="1:31">
      <c r="A71" t="b" cm="1">
        <f t="array" ref="A71">IF(OR('Closed End Seconds (FL)'!U10=B3:B11),0.25)</f>
        <v>0</v>
      </c>
      <c r="B71" s="59"/>
      <c r="C71"/>
      <c r="E71"/>
      <c r="F71"/>
      <c r="G71" s="139" t="s">
        <v>272</v>
      </c>
      <c r="H71" s="143" t="str">
        <f>IF(AND(
ISNUMBER(MATCH('Closed End Seconds (FL)'!U17, F8, 0)),
ISNUMBER(MATCH('Closed End Seconds (FL)'!U18, I5, 0)),
ISNUMBER(MATCH('Closed End Seconds (FL)'!U10, B7:B11, 0)),
ISNUMBER(MATCH('Closed End Seconds (FL)'!U11, A8, 0)),
'Closed End Seconds (FL)'!U13=C5
), NA(), "")</f>
        <v/>
      </c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</row>
    <row r="72" spans="1:31">
      <c r="A72"/>
      <c r="B72" s="59"/>
      <c r="C72"/>
      <c r="E72"/>
      <c r="F72"/>
      <c r="G72" s="139" t="s">
        <v>273</v>
      </c>
      <c r="H72" s="143" t="str">
        <f>IF(AND(
ISNUMBER(MATCH('Closed End Seconds (FL)'!U17, F7, 0)),
ISNUMBER(MATCH('Closed End Seconds (FL)'!U18, I5, 0)),
ISNUMBER(MATCH('Closed End Seconds (FL)'!U10, B10:B11, 0)),
ISNUMBER(MATCH('Closed End Seconds (FL)'!U11, A3:A7, 0)),
'Closed End Seconds (FL)'!U13=C5
), NA(), "")</f>
        <v/>
      </c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</row>
    <row r="73" spans="1:31" ht="16" thickBot="1">
      <c r="E73"/>
      <c r="F73"/>
      <c r="G73" s="139" t="s">
        <v>274</v>
      </c>
      <c r="H73" s="144" t="str">
        <f>IF(AND(
ISNUMBER(MATCH('Closed End Seconds (FL)'!U17, F8, 0)),
ISNUMBER(MATCH('Closed End Seconds (FL)'!U18, I5, 0)),
ISNUMBER(MATCH('Closed End Seconds (FL)'!U10, B8:B11, 0)),
ISNUMBER(MATCH('Closed End Seconds (FL)'!U11, A3:A7, 0)),
'Closed End Seconds (FL)'!U13=C5
), NA(), "")</f>
        <v/>
      </c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</row>
    <row r="74" spans="1:31"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</row>
    <row r="75" spans="1:31"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</row>
    <row r="76" spans="1:31"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</row>
    <row r="77" spans="1:31"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</row>
    <row r="78" spans="1:31"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</row>
    <row r="80" spans="1:31" ht="16" thickBot="1">
      <c r="B80" s="398" t="s">
        <v>0</v>
      </c>
      <c r="C80" s="399"/>
      <c r="D80" s="399"/>
      <c r="E80" s="399"/>
      <c r="F80"/>
      <c r="I80" s="136" t="s">
        <v>0</v>
      </c>
      <c r="J80" s="137"/>
      <c r="K80" s="137"/>
      <c r="L80" s="138"/>
    </row>
    <row r="81" spans="2:37" ht="16" thickBot="1">
      <c r="B81" s="60" t="s">
        <v>38</v>
      </c>
      <c r="C81" s="61" t="s">
        <v>28</v>
      </c>
      <c r="D81" s="61" t="s">
        <v>4</v>
      </c>
      <c r="E81" s="91" t="s">
        <v>186</v>
      </c>
      <c r="F81"/>
      <c r="G81" s="50" t="s">
        <v>39</v>
      </c>
      <c r="I81" s="67" t="s">
        <v>38</v>
      </c>
      <c r="J81" s="61" t="s">
        <v>28</v>
      </c>
      <c r="K81" s="61" t="s">
        <v>4</v>
      </c>
      <c r="L81" s="91" t="s">
        <v>186</v>
      </c>
      <c r="M81"/>
      <c r="N81" s="81">
        <v>0</v>
      </c>
    </row>
    <row r="82" spans="2:37">
      <c r="B82" s="92">
        <f>'Closed End Seconds (FL)'!B12</f>
        <v>7.25</v>
      </c>
      <c r="C82" s="93">
        <f>'Closed End Seconds (FL)'!C12</f>
        <v>97.875</v>
      </c>
      <c r="D82" s="93">
        <f>'Closed End Seconds (FL)'!D12</f>
        <v>97.375</v>
      </c>
      <c r="E82" s="105" t="e">
        <f>'Closed End Seconds (FL)'!E12</f>
        <v>#N/A</v>
      </c>
      <c r="F82"/>
      <c r="G82" s="52">
        <f>SUM('Closed End Seconds (FL)'!V11:V26)+B64</f>
        <v>0</v>
      </c>
      <c r="H82" s="53">
        <v>1</v>
      </c>
      <c r="I82" s="58">
        <f t="shared" ref="I82:I123" si="0">B82</f>
        <v>7.25</v>
      </c>
      <c r="J82" s="94">
        <f t="shared" ref="J82:J95" si="1">C82+$G$82</f>
        <v>97.875</v>
      </c>
      <c r="K82" s="94">
        <f t="shared" ref="K82:K95" si="2">D82+$G$82</f>
        <v>97.375</v>
      </c>
      <c r="L82" s="95" t="e">
        <f t="shared" ref="L82:L95" si="3">E82+$G$82</f>
        <v>#N/A</v>
      </c>
      <c r="M82"/>
      <c r="N82" s="52" cm="1">
        <f t="array" ref="N82:N126">I82:I126</f>
        <v>7.25</v>
      </c>
    </row>
    <row r="83" spans="2:37">
      <c r="B83" s="2">
        <f>'Closed End Seconds (FL)'!B13</f>
        <v>7.375</v>
      </c>
      <c r="C83" s="1">
        <f>'Closed End Seconds (FL)'!C13</f>
        <v>98.5</v>
      </c>
      <c r="D83" s="1">
        <f>'Closed End Seconds (FL)'!D13</f>
        <v>98</v>
      </c>
      <c r="E83" s="106" t="e">
        <f>'Closed End Seconds (FL)'!E13</f>
        <v>#N/A</v>
      </c>
      <c r="F83"/>
      <c r="G83" s="48" t="s">
        <v>118</v>
      </c>
      <c r="H83" s="53">
        <v>2</v>
      </c>
      <c r="I83" s="68">
        <f t="shared" si="0"/>
        <v>7.375</v>
      </c>
      <c r="J83" s="69">
        <f t="shared" si="1"/>
        <v>98.5</v>
      </c>
      <c r="K83" s="69">
        <f t="shared" si="2"/>
        <v>98</v>
      </c>
      <c r="L83" s="70" t="e">
        <f t="shared" si="3"/>
        <v>#N/A</v>
      </c>
      <c r="M83"/>
      <c r="N83" s="52">
        <v>7.375</v>
      </c>
    </row>
    <row r="84" spans="2:37">
      <c r="B84" s="2">
        <f>'Closed End Seconds (FL)'!B14</f>
        <v>7.4989999999999997</v>
      </c>
      <c r="C84" s="1">
        <f>'Closed End Seconds (FL)'!C14</f>
        <v>99.125</v>
      </c>
      <c r="D84" s="1">
        <f>'Closed End Seconds (FL)'!D14</f>
        <v>98.625</v>
      </c>
      <c r="E84" s="106" t="e">
        <f>'Closed End Seconds (FL)'!E14</f>
        <v>#N/A</v>
      </c>
      <c r="F84"/>
      <c r="G84" s="48" t="s">
        <v>40</v>
      </c>
      <c r="H84" s="53">
        <v>3</v>
      </c>
      <c r="I84" s="68">
        <f t="shared" si="0"/>
        <v>7.4989999999999997</v>
      </c>
      <c r="J84" s="69">
        <f t="shared" si="1"/>
        <v>99.125</v>
      </c>
      <c r="K84" s="69">
        <f t="shared" si="2"/>
        <v>98.625</v>
      </c>
      <c r="L84" s="70" t="e">
        <f t="shared" si="3"/>
        <v>#N/A</v>
      </c>
      <c r="M84"/>
      <c r="N84" s="52">
        <v>7.4989999999999997</v>
      </c>
    </row>
    <row r="85" spans="2:37">
      <c r="B85" s="2">
        <f>'Closed End Seconds (FL)'!B15</f>
        <v>7.625</v>
      </c>
      <c r="C85" s="1">
        <f>'Closed End Seconds (FL)'!C15</f>
        <v>99.5625</v>
      </c>
      <c r="D85" s="1">
        <f>'Closed End Seconds (FL)'!D15</f>
        <v>99.0625</v>
      </c>
      <c r="E85" s="106" t="e">
        <f>'Closed End Seconds (FL)'!E15</f>
        <v>#N/A</v>
      </c>
      <c r="F85"/>
      <c r="G85" s="52" t="e">
        <f>'Closed End Seconds (FL)'!V31</f>
        <v>#N/A</v>
      </c>
      <c r="H85" s="53">
        <v>4</v>
      </c>
      <c r="I85" s="68">
        <f t="shared" si="0"/>
        <v>7.625</v>
      </c>
      <c r="J85" s="69">
        <f t="shared" si="1"/>
        <v>99.5625</v>
      </c>
      <c r="K85" s="69">
        <f t="shared" si="2"/>
        <v>99.0625</v>
      </c>
      <c r="L85" s="70" t="e">
        <f t="shared" si="3"/>
        <v>#N/A</v>
      </c>
      <c r="M85"/>
      <c r="N85" s="52">
        <v>7.625</v>
      </c>
      <c r="P85" s="52"/>
    </row>
    <row r="86" spans="2:37">
      <c r="B86" s="2">
        <f>'Closed End Seconds (FL)'!B16</f>
        <v>7.75</v>
      </c>
      <c r="C86" s="1">
        <f>'Closed End Seconds (FL)'!C16</f>
        <v>100</v>
      </c>
      <c r="D86" s="1">
        <f>'Closed End Seconds (FL)'!D16</f>
        <v>99.5</v>
      </c>
      <c r="E86" s="106" t="e">
        <f>'Closed End Seconds (FL)'!E16</f>
        <v>#N/A</v>
      </c>
      <c r="F86"/>
      <c r="H86" s="53">
        <v>5</v>
      </c>
      <c r="I86" s="68">
        <f t="shared" si="0"/>
        <v>7.75</v>
      </c>
      <c r="J86" s="69">
        <f t="shared" si="1"/>
        <v>100</v>
      </c>
      <c r="K86" s="69">
        <f t="shared" si="2"/>
        <v>99.5</v>
      </c>
      <c r="L86" s="70" t="e">
        <f t="shared" si="3"/>
        <v>#N/A</v>
      </c>
      <c r="M86"/>
      <c r="N86" s="52">
        <v>7.75</v>
      </c>
      <c r="P86" s="52"/>
    </row>
    <row r="87" spans="2:37">
      <c r="B87" s="2">
        <f>'Closed End Seconds (FL)'!B17</f>
        <v>7.875</v>
      </c>
      <c r="C87" s="1">
        <f>'Closed End Seconds (FL)'!C17</f>
        <v>100.4375</v>
      </c>
      <c r="D87" s="1">
        <f>'Closed End Seconds (FL)'!D17</f>
        <v>99.9375</v>
      </c>
      <c r="E87" s="106" t="e">
        <f>'Closed End Seconds (FL)'!E17</f>
        <v>#N/A</v>
      </c>
      <c r="F87"/>
      <c r="H87" s="53">
        <v>6</v>
      </c>
      <c r="I87" s="68">
        <f t="shared" si="0"/>
        <v>7.875</v>
      </c>
      <c r="J87" s="69">
        <f t="shared" si="1"/>
        <v>100.4375</v>
      </c>
      <c r="K87" s="69">
        <f t="shared" si="2"/>
        <v>99.9375</v>
      </c>
      <c r="L87" s="70" t="e">
        <f t="shared" si="3"/>
        <v>#N/A</v>
      </c>
      <c r="M87"/>
      <c r="N87" s="52">
        <v>7.875</v>
      </c>
      <c r="P87" s="52"/>
    </row>
    <row r="88" spans="2:37">
      <c r="B88" s="2">
        <f>'Closed End Seconds (FL)'!B18</f>
        <v>7.9989999999999997</v>
      </c>
      <c r="C88" s="1">
        <f>'Closed End Seconds (FL)'!C18</f>
        <v>100.84375</v>
      </c>
      <c r="D88" s="1">
        <f>'Closed End Seconds (FL)'!D18</f>
        <v>100.34375</v>
      </c>
      <c r="E88" s="106" t="e">
        <f>'Closed End Seconds (FL)'!E18</f>
        <v>#N/A</v>
      </c>
      <c r="F88"/>
      <c r="H88" s="53">
        <v>7</v>
      </c>
      <c r="I88" s="68">
        <f t="shared" si="0"/>
        <v>7.9989999999999997</v>
      </c>
      <c r="J88" s="69">
        <f t="shared" si="1"/>
        <v>100.84375</v>
      </c>
      <c r="K88" s="69">
        <f t="shared" si="2"/>
        <v>100.34375</v>
      </c>
      <c r="L88" s="70" t="e">
        <f t="shared" si="3"/>
        <v>#N/A</v>
      </c>
      <c r="M88"/>
      <c r="N88" s="52">
        <v>7.9989999999999997</v>
      </c>
      <c r="P88" s="52"/>
    </row>
    <row r="89" spans="2:37">
      <c r="B89" s="2">
        <f>'Closed End Seconds (FL)'!B19</f>
        <v>8.125</v>
      </c>
      <c r="C89" s="1">
        <f>'Closed End Seconds (FL)'!C19</f>
        <v>101.25</v>
      </c>
      <c r="D89" s="1">
        <f>'Closed End Seconds (FL)'!D19</f>
        <v>100.75</v>
      </c>
      <c r="E89" s="106" t="e">
        <f>'Closed End Seconds (FL)'!E19</f>
        <v>#N/A</v>
      </c>
      <c r="F89"/>
      <c r="G89" s="48" t="str">
        <f>IF('Closed End Seconds (FL)'!U13=C3,C4,'Closed End Seconds (FL)'!U13)</f>
        <v>Choose a Selection</v>
      </c>
      <c r="H89" s="53">
        <v>8</v>
      </c>
      <c r="I89" s="68">
        <f t="shared" si="0"/>
        <v>8.125</v>
      </c>
      <c r="J89" s="69">
        <f t="shared" si="1"/>
        <v>101.25</v>
      </c>
      <c r="K89" s="69">
        <f t="shared" si="2"/>
        <v>100.75</v>
      </c>
      <c r="L89" s="70" t="e">
        <f t="shared" si="3"/>
        <v>#N/A</v>
      </c>
      <c r="M89"/>
      <c r="N89" s="52">
        <v>8.125</v>
      </c>
      <c r="P89" s="52"/>
    </row>
    <row r="90" spans="2:37">
      <c r="B90" s="2">
        <f>'Closed End Seconds (FL)'!B20</f>
        <v>8.25</v>
      </c>
      <c r="C90" s="1">
        <f>'Closed End Seconds (FL)'!C20</f>
        <v>101.65625</v>
      </c>
      <c r="D90" s="1">
        <f>'Closed End Seconds (FL)'!D20</f>
        <v>101.15625</v>
      </c>
      <c r="E90" s="106" t="e">
        <f>'Closed End Seconds (FL)'!E20</f>
        <v>#N/A</v>
      </c>
      <c r="F90"/>
      <c r="H90" s="53">
        <v>9</v>
      </c>
      <c r="I90" s="68">
        <f t="shared" si="0"/>
        <v>8.25</v>
      </c>
      <c r="J90" s="69">
        <f t="shared" si="1"/>
        <v>101.65625</v>
      </c>
      <c r="K90" s="69">
        <f t="shared" si="2"/>
        <v>101.15625</v>
      </c>
      <c r="L90" s="70" t="e">
        <f t="shared" si="3"/>
        <v>#N/A</v>
      </c>
      <c r="M90"/>
      <c r="N90" s="52">
        <v>8.25</v>
      </c>
      <c r="P90" s="52"/>
    </row>
    <row r="91" spans="2:37">
      <c r="B91" s="2">
        <f>'Closed End Seconds (FL)'!B21</f>
        <v>8.375</v>
      </c>
      <c r="C91" s="1">
        <f>'Closed End Seconds (FL)'!C21</f>
        <v>102.03125</v>
      </c>
      <c r="D91" s="1">
        <f>'Closed End Seconds (FL)'!D21</f>
        <v>101.53125</v>
      </c>
      <c r="E91" s="106" t="e">
        <f>'Closed End Seconds (FL)'!E21</f>
        <v>#N/A</v>
      </c>
      <c r="F91"/>
      <c r="H91" s="53">
        <v>10</v>
      </c>
      <c r="I91" s="68">
        <f t="shared" si="0"/>
        <v>8.375</v>
      </c>
      <c r="J91" s="69">
        <f t="shared" si="1"/>
        <v>102.03125</v>
      </c>
      <c r="K91" s="69">
        <f t="shared" si="2"/>
        <v>101.53125</v>
      </c>
      <c r="L91" s="70" t="e">
        <f t="shared" si="3"/>
        <v>#N/A</v>
      </c>
      <c r="M91"/>
      <c r="N91" s="52">
        <v>8.375</v>
      </c>
      <c r="P91" s="52"/>
    </row>
    <row r="92" spans="2:37">
      <c r="B92" s="2">
        <f>'Closed End Seconds (FL)'!B22</f>
        <v>8.4990000000000006</v>
      </c>
      <c r="C92" s="1">
        <f>'Closed End Seconds (FL)'!C22</f>
        <v>102.40625</v>
      </c>
      <c r="D92" s="1">
        <f>'Closed End Seconds (FL)'!D22</f>
        <v>101.90625</v>
      </c>
      <c r="E92" s="106">
        <f>'Closed End Seconds (FL)'!E22</f>
        <v>98.9</v>
      </c>
      <c r="F92"/>
      <c r="H92" s="53">
        <v>11</v>
      </c>
      <c r="I92" s="68">
        <f t="shared" si="0"/>
        <v>8.4990000000000006</v>
      </c>
      <c r="J92" s="69">
        <f t="shared" si="1"/>
        <v>102.40625</v>
      </c>
      <c r="K92" s="69">
        <f t="shared" si="2"/>
        <v>101.90625</v>
      </c>
      <c r="L92" s="70">
        <f t="shared" si="3"/>
        <v>98.9</v>
      </c>
      <c r="M92"/>
      <c r="N92" s="52">
        <v>8.4990000000000006</v>
      </c>
      <c r="P92" s="52"/>
    </row>
    <row r="93" spans="2:37">
      <c r="B93" s="2">
        <f>'Closed End Seconds (FL)'!B23</f>
        <v>8.625</v>
      </c>
      <c r="C93" s="1">
        <f>'Closed End Seconds (FL)'!C23</f>
        <v>102.78125</v>
      </c>
      <c r="D93" s="1">
        <f>'Closed End Seconds (FL)'!D23</f>
        <v>102.28125</v>
      </c>
      <c r="E93" s="106">
        <f>'Closed End Seconds (FL)'!E23</f>
        <v>99.15</v>
      </c>
      <c r="F93"/>
      <c r="H93" s="53">
        <v>12</v>
      </c>
      <c r="I93" s="68">
        <f t="shared" si="0"/>
        <v>8.625</v>
      </c>
      <c r="J93" s="69">
        <f t="shared" si="1"/>
        <v>102.78125</v>
      </c>
      <c r="K93" s="69">
        <f t="shared" si="2"/>
        <v>102.28125</v>
      </c>
      <c r="L93" s="70">
        <f t="shared" si="3"/>
        <v>99.15</v>
      </c>
      <c r="M93"/>
      <c r="N93" s="52">
        <v>8.625</v>
      </c>
    </row>
    <row r="94" spans="2:37">
      <c r="B94" s="2">
        <f>'Closed End Seconds (FL)'!B24</f>
        <v>8.75</v>
      </c>
      <c r="C94" s="1">
        <f>'Closed End Seconds (FL)'!C24</f>
        <v>103.09375</v>
      </c>
      <c r="D94" s="1">
        <f>'Closed End Seconds (FL)'!D24</f>
        <v>102.59375</v>
      </c>
      <c r="E94" s="106">
        <f>'Closed End Seconds (FL)'!E24</f>
        <v>99.4</v>
      </c>
      <c r="F94"/>
      <c r="H94" s="53">
        <v>13</v>
      </c>
      <c r="I94" s="68">
        <f t="shared" si="0"/>
        <v>8.75</v>
      </c>
      <c r="J94" s="69">
        <f t="shared" si="1"/>
        <v>103.09375</v>
      </c>
      <c r="K94" s="69">
        <f t="shared" si="2"/>
        <v>102.59375</v>
      </c>
      <c r="L94" s="70">
        <f t="shared" si="3"/>
        <v>99.4</v>
      </c>
      <c r="M94"/>
      <c r="N94" s="52">
        <v>8.75</v>
      </c>
    </row>
    <row r="95" spans="2:37">
      <c r="B95" s="2">
        <f>'Closed End Seconds (FL)'!B25</f>
        <v>8.875</v>
      </c>
      <c r="C95" s="1">
        <f>'Closed End Seconds (FL)'!C25</f>
        <v>103.40625</v>
      </c>
      <c r="D95" s="1">
        <f>'Closed End Seconds (FL)'!D25</f>
        <v>102.90625</v>
      </c>
      <c r="E95" s="106">
        <f>'Closed End Seconds (FL)'!E25</f>
        <v>99.65</v>
      </c>
      <c r="F95"/>
      <c r="H95" s="53">
        <v>14</v>
      </c>
      <c r="I95" s="68">
        <f t="shared" si="0"/>
        <v>8.875</v>
      </c>
      <c r="J95" s="69">
        <f t="shared" si="1"/>
        <v>103.40625</v>
      </c>
      <c r="K95" s="69">
        <f t="shared" si="2"/>
        <v>102.90625</v>
      </c>
      <c r="L95" s="70">
        <f t="shared" si="3"/>
        <v>99.65</v>
      </c>
      <c r="M95"/>
      <c r="N95" s="52">
        <v>8.875</v>
      </c>
    </row>
    <row r="96" spans="2:37">
      <c r="B96" s="2">
        <f>'Closed End Seconds (FL)'!B26</f>
        <v>8.9990000000000006</v>
      </c>
      <c r="C96" s="1">
        <f>'Closed End Seconds (FL)'!C26</f>
        <v>103.71875</v>
      </c>
      <c r="D96" s="1">
        <f>'Closed End Seconds (FL)'!D26</f>
        <v>103.21875</v>
      </c>
      <c r="E96" s="106">
        <f>'Closed End Seconds (FL)'!E26</f>
        <v>99.9</v>
      </c>
      <c r="F96"/>
      <c r="H96" s="53">
        <v>15</v>
      </c>
      <c r="I96" s="68">
        <f t="shared" si="0"/>
        <v>8.9990000000000006</v>
      </c>
      <c r="J96" s="69">
        <f t="shared" ref="J96:J123" si="4">C96+$G$82</f>
        <v>103.71875</v>
      </c>
      <c r="K96" s="69">
        <f t="shared" ref="K96:K123" si="5">D96+$G$82</f>
        <v>103.21875</v>
      </c>
      <c r="L96" s="70">
        <f t="shared" ref="L96:L123" si="6">E96+$G$82</f>
        <v>99.9</v>
      </c>
      <c r="M96"/>
      <c r="N96" s="52">
        <v>8.9990000000000006</v>
      </c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</row>
    <row r="97" spans="2:37">
      <c r="B97" s="2">
        <f>'Closed End Seconds (FL)'!B27</f>
        <v>9.125</v>
      </c>
      <c r="C97" s="1">
        <f>'Closed End Seconds (FL)'!C27</f>
        <v>104.03125</v>
      </c>
      <c r="D97" s="1">
        <f>'Closed End Seconds (FL)'!D27</f>
        <v>103.53125</v>
      </c>
      <c r="E97" s="106">
        <f>'Closed End Seconds (FL)'!E27</f>
        <v>100.15</v>
      </c>
      <c r="F97"/>
      <c r="G97" s="52"/>
      <c r="H97" s="53">
        <v>16</v>
      </c>
      <c r="I97" s="68">
        <f t="shared" si="0"/>
        <v>9.125</v>
      </c>
      <c r="J97" s="69">
        <f t="shared" si="4"/>
        <v>104.03125</v>
      </c>
      <c r="K97" s="69">
        <f t="shared" si="5"/>
        <v>103.53125</v>
      </c>
      <c r="L97" s="70">
        <f t="shared" si="6"/>
        <v>100.15</v>
      </c>
      <c r="M97"/>
      <c r="N97" s="52">
        <v>9.125</v>
      </c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</row>
    <row r="98" spans="2:37">
      <c r="B98" s="2">
        <f>'Closed End Seconds (FL)'!B28</f>
        <v>9.25</v>
      </c>
      <c r="C98" s="1">
        <f>'Closed End Seconds (FL)'!C28</f>
        <v>104.34375</v>
      </c>
      <c r="D98" s="1">
        <f>'Closed End Seconds (FL)'!D28</f>
        <v>103.84375</v>
      </c>
      <c r="E98" s="106">
        <f>'Closed End Seconds (FL)'!E28</f>
        <v>100.4</v>
      </c>
      <c r="F98"/>
      <c r="G98" s="52"/>
      <c r="H98" s="53">
        <v>17</v>
      </c>
      <c r="I98" s="68">
        <f t="shared" si="0"/>
        <v>9.25</v>
      </c>
      <c r="J98" s="69">
        <f t="shared" si="4"/>
        <v>104.34375</v>
      </c>
      <c r="K98" s="69">
        <f t="shared" si="5"/>
        <v>103.84375</v>
      </c>
      <c r="L98" s="70">
        <f t="shared" si="6"/>
        <v>100.4</v>
      </c>
      <c r="M98"/>
      <c r="N98" s="52">
        <v>9.25</v>
      </c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</row>
    <row r="99" spans="2:37">
      <c r="B99" s="2">
        <f>'Closed End Seconds (FL)'!B29</f>
        <v>9.375</v>
      </c>
      <c r="C99" s="1">
        <f>'Closed End Seconds (FL)'!C29</f>
        <v>104.625</v>
      </c>
      <c r="D99" s="1">
        <f>'Closed End Seconds (FL)'!D29</f>
        <v>104.125</v>
      </c>
      <c r="E99" s="106">
        <f>'Closed End Seconds (FL)'!E29</f>
        <v>100.65</v>
      </c>
      <c r="F99"/>
      <c r="H99" s="53">
        <v>18</v>
      </c>
      <c r="I99" s="83">
        <f t="shared" si="0"/>
        <v>9.375</v>
      </c>
      <c r="J99" s="84">
        <f t="shared" si="4"/>
        <v>104.625</v>
      </c>
      <c r="K99" s="84">
        <f t="shared" si="5"/>
        <v>104.125</v>
      </c>
      <c r="L99" s="96">
        <f t="shared" si="6"/>
        <v>100.65</v>
      </c>
      <c r="M99"/>
      <c r="N99" s="52">
        <v>9.375</v>
      </c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</row>
    <row r="100" spans="2:37">
      <c r="B100" s="2">
        <f>'Closed End Seconds (FL)'!B30</f>
        <v>9.4990000000000006</v>
      </c>
      <c r="C100" s="1">
        <f>'Closed End Seconds (FL)'!C30</f>
        <v>104.90625</v>
      </c>
      <c r="D100" s="1">
        <f>'Closed End Seconds (FL)'!D30</f>
        <v>104.40625</v>
      </c>
      <c r="E100" s="106">
        <f>'Closed End Seconds (FL)'!E30</f>
        <v>100.9</v>
      </c>
      <c r="F100"/>
      <c r="H100" s="53">
        <v>19</v>
      </c>
      <c r="I100" s="83">
        <f t="shared" si="0"/>
        <v>9.4990000000000006</v>
      </c>
      <c r="J100" s="84">
        <f t="shared" si="4"/>
        <v>104.90625</v>
      </c>
      <c r="K100" s="84">
        <f t="shared" si="5"/>
        <v>104.40625</v>
      </c>
      <c r="L100" s="96">
        <f t="shared" si="6"/>
        <v>100.9</v>
      </c>
      <c r="M100"/>
      <c r="N100" s="52">
        <v>9.4990000000000006</v>
      </c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</row>
    <row r="101" spans="2:37">
      <c r="B101" s="2">
        <f>'Closed End Seconds (FL)'!B31</f>
        <v>9.625</v>
      </c>
      <c r="C101" s="1">
        <f>'Closed End Seconds (FL)'!C31</f>
        <v>105.1875</v>
      </c>
      <c r="D101" s="1">
        <f>'Closed End Seconds (FL)'!D31</f>
        <v>104.6875</v>
      </c>
      <c r="E101" s="106">
        <f>'Closed End Seconds (FL)'!E31</f>
        <v>101.15</v>
      </c>
      <c r="F101"/>
      <c r="H101" s="53">
        <v>20</v>
      </c>
      <c r="I101" s="68">
        <f t="shared" si="0"/>
        <v>9.625</v>
      </c>
      <c r="J101" s="69">
        <f t="shared" si="4"/>
        <v>105.1875</v>
      </c>
      <c r="K101" s="69">
        <f t="shared" si="5"/>
        <v>104.6875</v>
      </c>
      <c r="L101" s="70">
        <f t="shared" si="6"/>
        <v>101.15</v>
      </c>
      <c r="M101"/>
      <c r="N101" s="52">
        <v>9.625</v>
      </c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</row>
    <row r="102" spans="2:37">
      <c r="B102" s="2">
        <f>'Closed End Seconds (FL)'!B32</f>
        <v>9.75</v>
      </c>
      <c r="C102" s="1">
        <f>'Closed End Seconds (FL)'!C32</f>
        <v>105.375</v>
      </c>
      <c r="D102" s="1">
        <f>'Closed End Seconds (FL)'!D32</f>
        <v>104.875</v>
      </c>
      <c r="E102" s="106">
        <f>'Closed End Seconds (FL)'!E32</f>
        <v>101.4</v>
      </c>
      <c r="F102"/>
      <c r="H102" s="53">
        <v>21</v>
      </c>
      <c r="I102" s="68">
        <f t="shared" si="0"/>
        <v>9.75</v>
      </c>
      <c r="J102" s="69">
        <f t="shared" si="4"/>
        <v>105.375</v>
      </c>
      <c r="K102" s="69">
        <f t="shared" si="5"/>
        <v>104.875</v>
      </c>
      <c r="L102" s="70">
        <f t="shared" si="6"/>
        <v>101.4</v>
      </c>
      <c r="M102"/>
      <c r="N102" s="52">
        <v>9.75</v>
      </c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</row>
    <row r="103" spans="2:37">
      <c r="B103" s="2">
        <f>'Closed End Seconds (FL)'!B33</f>
        <v>9.875</v>
      </c>
      <c r="C103" s="1">
        <f>'Closed End Seconds (FL)'!C33</f>
        <v>105.5625</v>
      </c>
      <c r="D103" s="1">
        <f>'Closed End Seconds (FL)'!D33</f>
        <v>105.0625</v>
      </c>
      <c r="E103" s="106">
        <f>'Closed End Seconds (FL)'!E33</f>
        <v>101.65</v>
      </c>
      <c r="F103"/>
      <c r="H103" s="53">
        <v>22</v>
      </c>
      <c r="I103" s="68">
        <f t="shared" si="0"/>
        <v>9.875</v>
      </c>
      <c r="J103" s="69">
        <f t="shared" si="4"/>
        <v>105.5625</v>
      </c>
      <c r="K103" s="69">
        <f t="shared" si="5"/>
        <v>105.0625</v>
      </c>
      <c r="L103" s="70">
        <f t="shared" si="6"/>
        <v>101.65</v>
      </c>
      <c r="M103"/>
      <c r="N103" s="52">
        <v>9.875</v>
      </c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</row>
    <row r="104" spans="2:37">
      <c r="B104" s="2">
        <f>'Closed End Seconds (FL)'!B34</f>
        <v>9.9990000000000006</v>
      </c>
      <c r="C104" s="1">
        <f>'Closed End Seconds (FL)'!C34</f>
        <v>105.75</v>
      </c>
      <c r="D104" s="1">
        <f>'Closed End Seconds (FL)'!D34</f>
        <v>105.25</v>
      </c>
      <c r="E104" s="106">
        <f>'Closed End Seconds (FL)'!E34</f>
        <v>101.9</v>
      </c>
      <c r="F104"/>
      <c r="H104" s="53">
        <v>23</v>
      </c>
      <c r="I104" s="68">
        <f t="shared" si="0"/>
        <v>9.9990000000000006</v>
      </c>
      <c r="J104" s="69">
        <f t="shared" si="4"/>
        <v>105.75</v>
      </c>
      <c r="K104" s="69">
        <f t="shared" si="5"/>
        <v>105.25</v>
      </c>
      <c r="L104" s="70">
        <f t="shared" si="6"/>
        <v>101.9</v>
      </c>
      <c r="M104"/>
      <c r="N104" s="52">
        <v>9.9990000000000006</v>
      </c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</row>
    <row r="105" spans="2:37">
      <c r="B105" s="2">
        <f>'Closed End Seconds (FL)'!B35</f>
        <v>10.125</v>
      </c>
      <c r="C105" s="1">
        <f>'Closed End Seconds (FL)'!C35</f>
        <v>105.9375</v>
      </c>
      <c r="D105" s="1">
        <f>'Closed End Seconds (FL)'!D35</f>
        <v>105.4375</v>
      </c>
      <c r="E105" s="106">
        <f>'Closed End Seconds (FL)'!E35</f>
        <v>102.15</v>
      </c>
      <c r="F105"/>
      <c r="H105" s="53">
        <v>24</v>
      </c>
      <c r="I105" s="68">
        <f t="shared" si="0"/>
        <v>10.125</v>
      </c>
      <c r="J105" s="69">
        <f t="shared" si="4"/>
        <v>105.9375</v>
      </c>
      <c r="K105" s="69">
        <f t="shared" si="5"/>
        <v>105.4375</v>
      </c>
      <c r="L105" s="70">
        <f t="shared" si="6"/>
        <v>102.15</v>
      </c>
      <c r="M105"/>
      <c r="N105" s="52">
        <v>10.125</v>
      </c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</row>
    <row r="106" spans="2:37">
      <c r="B106" s="2">
        <f>'Closed End Seconds (FL)'!B36</f>
        <v>10.25</v>
      </c>
      <c r="C106" s="1">
        <f>'Closed End Seconds (FL)'!C36</f>
        <v>106.125</v>
      </c>
      <c r="D106" s="1">
        <f>'Closed End Seconds (FL)'!D36</f>
        <v>105.625</v>
      </c>
      <c r="E106" s="106">
        <f>'Closed End Seconds (FL)'!E36</f>
        <v>102.4</v>
      </c>
      <c r="F106"/>
      <c r="H106" s="53">
        <v>25</v>
      </c>
      <c r="I106" s="68">
        <f t="shared" si="0"/>
        <v>10.25</v>
      </c>
      <c r="J106" s="69">
        <f t="shared" si="4"/>
        <v>106.125</v>
      </c>
      <c r="K106" s="69">
        <f t="shared" si="5"/>
        <v>105.625</v>
      </c>
      <c r="L106" s="70">
        <f t="shared" si="6"/>
        <v>102.4</v>
      </c>
      <c r="M106"/>
      <c r="N106" s="52">
        <v>10.25</v>
      </c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</row>
    <row r="107" spans="2:37">
      <c r="B107" s="2">
        <f>'Closed End Seconds (FL)'!B37</f>
        <v>10.375</v>
      </c>
      <c r="C107" s="1">
        <f>'Closed End Seconds (FL)'!C37</f>
        <v>106.3125</v>
      </c>
      <c r="D107" s="1">
        <f>'Closed End Seconds (FL)'!D37</f>
        <v>105.8125</v>
      </c>
      <c r="E107" s="106">
        <f>'Closed End Seconds (FL)'!E37</f>
        <v>102.65</v>
      </c>
      <c r="F107"/>
      <c r="H107" s="53">
        <v>26</v>
      </c>
      <c r="I107" s="68">
        <f t="shared" si="0"/>
        <v>10.375</v>
      </c>
      <c r="J107" s="69">
        <f t="shared" si="4"/>
        <v>106.3125</v>
      </c>
      <c r="K107" s="69">
        <f t="shared" si="5"/>
        <v>105.8125</v>
      </c>
      <c r="L107" s="70">
        <f t="shared" si="6"/>
        <v>102.65</v>
      </c>
      <c r="M107"/>
      <c r="N107" s="52">
        <v>10.375</v>
      </c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</row>
    <row r="108" spans="2:37">
      <c r="B108" s="2">
        <f>'Closed End Seconds (FL)'!B38</f>
        <v>10.499000000000001</v>
      </c>
      <c r="C108" s="1">
        <f>'Closed End Seconds (FL)'!C38</f>
        <v>106.5</v>
      </c>
      <c r="D108" s="1">
        <f>'Closed End Seconds (FL)'!D38</f>
        <v>106</v>
      </c>
      <c r="E108" s="106">
        <f>'Closed End Seconds (FL)'!E38</f>
        <v>103.15</v>
      </c>
      <c r="F108"/>
      <c r="H108" s="53">
        <v>27</v>
      </c>
      <c r="I108" s="68">
        <f t="shared" si="0"/>
        <v>10.499000000000001</v>
      </c>
      <c r="J108" s="69">
        <f t="shared" si="4"/>
        <v>106.5</v>
      </c>
      <c r="K108" s="69">
        <f t="shared" si="5"/>
        <v>106</v>
      </c>
      <c r="L108" s="70">
        <f t="shared" si="6"/>
        <v>103.15</v>
      </c>
      <c r="M108"/>
      <c r="N108" s="52">
        <v>10.499000000000001</v>
      </c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</row>
    <row r="109" spans="2:37">
      <c r="B109" s="2">
        <f>'Closed End Seconds (FL)'!B39</f>
        <v>10.625</v>
      </c>
      <c r="C109" s="1">
        <f>'Closed End Seconds (FL)'!C39</f>
        <v>106.6875</v>
      </c>
      <c r="D109" s="1">
        <f>'Closed End Seconds (FL)'!D39</f>
        <v>106.1875</v>
      </c>
      <c r="E109" s="106">
        <f>'Closed End Seconds (FL)'!E39</f>
        <v>103.65</v>
      </c>
      <c r="F109"/>
      <c r="H109" s="53">
        <v>28</v>
      </c>
      <c r="I109" s="68">
        <f t="shared" si="0"/>
        <v>10.625</v>
      </c>
      <c r="J109" s="69">
        <f t="shared" si="4"/>
        <v>106.6875</v>
      </c>
      <c r="K109" s="69">
        <f t="shared" si="5"/>
        <v>106.1875</v>
      </c>
      <c r="L109" s="70">
        <f t="shared" si="6"/>
        <v>103.65</v>
      </c>
      <c r="M109"/>
      <c r="N109" s="52">
        <v>10.625</v>
      </c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</row>
    <row r="110" spans="2:37">
      <c r="B110" s="2">
        <f>'Closed End Seconds (FL)'!B40</f>
        <v>10.75</v>
      </c>
      <c r="C110" s="1">
        <f>'Closed End Seconds (FL)'!C40</f>
        <v>106.875</v>
      </c>
      <c r="D110" s="1">
        <f>'Closed End Seconds (FL)'!D40</f>
        <v>106.375</v>
      </c>
      <c r="E110" s="106">
        <f>'Closed End Seconds (FL)'!E40</f>
        <v>104.15</v>
      </c>
      <c r="F110"/>
      <c r="H110" s="53">
        <v>29</v>
      </c>
      <c r="I110" s="68">
        <f t="shared" si="0"/>
        <v>10.75</v>
      </c>
      <c r="J110" s="69">
        <f t="shared" si="4"/>
        <v>106.875</v>
      </c>
      <c r="K110" s="69">
        <f t="shared" si="5"/>
        <v>106.375</v>
      </c>
      <c r="L110" s="70">
        <f t="shared" si="6"/>
        <v>104.15</v>
      </c>
      <c r="M110"/>
      <c r="N110" s="52">
        <v>10.75</v>
      </c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</row>
    <row r="111" spans="2:37">
      <c r="B111" s="2">
        <f>'Closed End Seconds (FL)'!B41</f>
        <v>10.875</v>
      </c>
      <c r="C111" s="1">
        <f>'Closed End Seconds (FL)'!C41</f>
        <v>107.0625</v>
      </c>
      <c r="D111" s="1">
        <f>'Closed End Seconds (FL)'!D41</f>
        <v>106.5625</v>
      </c>
      <c r="E111" s="106">
        <f>'Closed End Seconds (FL)'!E41</f>
        <v>104.65</v>
      </c>
      <c r="F111"/>
      <c r="H111" s="53">
        <v>30</v>
      </c>
      <c r="I111" s="68">
        <f t="shared" si="0"/>
        <v>10.875</v>
      </c>
      <c r="J111" s="69">
        <f t="shared" si="4"/>
        <v>107.0625</v>
      </c>
      <c r="K111" s="69">
        <f t="shared" si="5"/>
        <v>106.5625</v>
      </c>
      <c r="L111" s="70">
        <f t="shared" si="6"/>
        <v>104.65</v>
      </c>
      <c r="M111"/>
      <c r="N111" s="52">
        <v>10.875</v>
      </c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</row>
    <row r="112" spans="2:37">
      <c r="B112" s="2">
        <f>'Closed End Seconds (FL)'!B42</f>
        <v>10.999000000000001</v>
      </c>
      <c r="C112" s="1">
        <f>'Closed End Seconds (FL)'!C42</f>
        <v>107.25</v>
      </c>
      <c r="D112" s="1">
        <f>'Closed End Seconds (FL)'!D42</f>
        <v>106.75</v>
      </c>
      <c r="E112" s="106">
        <f>'Closed End Seconds (FL)'!E42</f>
        <v>104.9</v>
      </c>
      <c r="F112"/>
      <c r="H112" s="53">
        <v>31</v>
      </c>
      <c r="I112" s="68">
        <f t="shared" si="0"/>
        <v>10.999000000000001</v>
      </c>
      <c r="J112" s="69">
        <f t="shared" si="4"/>
        <v>107.25</v>
      </c>
      <c r="K112" s="69">
        <f t="shared" si="5"/>
        <v>106.75</v>
      </c>
      <c r="L112" s="70">
        <f t="shared" si="6"/>
        <v>104.9</v>
      </c>
      <c r="M112"/>
      <c r="N112" s="52">
        <v>10.999000000000001</v>
      </c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</row>
    <row r="113" spans="2:37">
      <c r="B113" s="2">
        <f>'Closed End Seconds (FL)'!B43</f>
        <v>11.125</v>
      </c>
      <c r="C113" s="1">
        <f>'Closed End Seconds (FL)'!C43</f>
        <v>107.4375</v>
      </c>
      <c r="D113" s="1">
        <f>'Closed End Seconds (FL)'!D43</f>
        <v>106.9375</v>
      </c>
      <c r="E113" s="106">
        <f>'Closed End Seconds (FL)'!E43</f>
        <v>105.15</v>
      </c>
      <c r="F113"/>
      <c r="H113" s="53">
        <v>32</v>
      </c>
      <c r="I113" s="68">
        <f t="shared" ref="I113:I115" si="7">B113</f>
        <v>11.125</v>
      </c>
      <c r="J113" s="69">
        <f t="shared" ref="J113:J115" si="8">C113+$G$82</f>
        <v>107.4375</v>
      </c>
      <c r="K113" s="69">
        <f t="shared" ref="K113:K115" si="9">D113+$G$82</f>
        <v>106.9375</v>
      </c>
      <c r="L113" s="70">
        <f t="shared" ref="L113:L115" si="10">E113+$G$82</f>
        <v>105.15</v>
      </c>
      <c r="M113"/>
      <c r="N113" s="52">
        <v>11.125</v>
      </c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</row>
    <row r="114" spans="2:37">
      <c r="B114" s="2">
        <f>'Closed End Seconds (FL)'!B44</f>
        <v>11.25</v>
      </c>
      <c r="C114" s="1">
        <f>'Closed End Seconds (FL)'!C44</f>
        <v>107.625</v>
      </c>
      <c r="D114" s="1">
        <f>'Closed End Seconds (FL)'!D44</f>
        <v>107.125</v>
      </c>
      <c r="E114" s="106">
        <f>'Closed End Seconds (FL)'!E44</f>
        <v>105.4</v>
      </c>
      <c r="F114"/>
      <c r="H114" s="53">
        <v>33</v>
      </c>
      <c r="I114" s="68">
        <f t="shared" si="7"/>
        <v>11.25</v>
      </c>
      <c r="J114" s="69">
        <f t="shared" si="8"/>
        <v>107.625</v>
      </c>
      <c r="K114" s="69">
        <f t="shared" si="9"/>
        <v>107.125</v>
      </c>
      <c r="L114" s="70">
        <f t="shared" si="10"/>
        <v>105.4</v>
      </c>
      <c r="M114"/>
      <c r="N114" s="52">
        <v>11.25</v>
      </c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</row>
    <row r="115" spans="2:37">
      <c r="B115" s="2">
        <f>'Closed End Seconds (FL)'!B45</f>
        <v>11.375</v>
      </c>
      <c r="C115" s="1">
        <f>'Closed End Seconds (FL)'!C45</f>
        <v>107.8125</v>
      </c>
      <c r="D115" s="1">
        <f>'Closed End Seconds (FL)'!D45</f>
        <v>107.3125</v>
      </c>
      <c r="E115" s="106">
        <f>'Closed End Seconds (FL)'!E45</f>
        <v>105.65</v>
      </c>
      <c r="F115"/>
      <c r="H115" s="53">
        <v>34</v>
      </c>
      <c r="I115" s="68">
        <f t="shared" si="7"/>
        <v>11.375</v>
      </c>
      <c r="J115" s="69">
        <f t="shared" si="8"/>
        <v>107.8125</v>
      </c>
      <c r="K115" s="69">
        <f t="shared" si="9"/>
        <v>107.3125</v>
      </c>
      <c r="L115" s="70">
        <f t="shared" si="10"/>
        <v>105.65</v>
      </c>
      <c r="M115"/>
      <c r="N115" s="52">
        <v>11.375</v>
      </c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</row>
    <row r="116" spans="2:37">
      <c r="B116" s="2">
        <f>'Closed End Seconds (FL)'!B46</f>
        <v>11.499000000000001</v>
      </c>
      <c r="C116" s="1">
        <f>'Closed End Seconds (FL)'!C46</f>
        <v>108</v>
      </c>
      <c r="D116" s="1">
        <f>'Closed End Seconds (FL)'!D46</f>
        <v>107.5</v>
      </c>
      <c r="E116" s="106">
        <f>'Closed End Seconds (FL)'!E46</f>
        <v>105.9</v>
      </c>
      <c r="F116"/>
      <c r="H116" s="53">
        <v>35</v>
      </c>
      <c r="I116" s="68">
        <f t="shared" si="0"/>
        <v>11.499000000000001</v>
      </c>
      <c r="J116" s="69">
        <f t="shared" si="4"/>
        <v>108</v>
      </c>
      <c r="K116" s="69">
        <f t="shared" si="5"/>
        <v>107.5</v>
      </c>
      <c r="L116" s="70">
        <f t="shared" si="6"/>
        <v>105.9</v>
      </c>
      <c r="M116"/>
      <c r="N116" s="52">
        <v>11.499000000000001</v>
      </c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</row>
    <row r="117" spans="2:37">
      <c r="B117" s="2">
        <f>'Closed End Seconds (FL)'!B47</f>
        <v>11.625</v>
      </c>
      <c r="C117" s="1">
        <f>'Closed End Seconds (FL)'!C47</f>
        <v>108.1875</v>
      </c>
      <c r="D117" s="1">
        <f>'Closed End Seconds (FL)'!D47</f>
        <v>107.6875</v>
      </c>
      <c r="E117" s="106">
        <f>'Closed End Seconds (FL)'!E47</f>
        <v>106.15</v>
      </c>
      <c r="F117"/>
      <c r="H117" s="53">
        <v>36</v>
      </c>
      <c r="I117" s="68">
        <f t="shared" si="0"/>
        <v>11.625</v>
      </c>
      <c r="J117" s="69">
        <f t="shared" si="4"/>
        <v>108.1875</v>
      </c>
      <c r="K117" s="69">
        <f t="shared" si="5"/>
        <v>107.6875</v>
      </c>
      <c r="L117" s="70">
        <f t="shared" si="6"/>
        <v>106.15</v>
      </c>
      <c r="M117"/>
      <c r="N117" s="52">
        <v>11.625</v>
      </c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</row>
    <row r="118" spans="2:37">
      <c r="B118" s="2">
        <f>'Closed End Seconds (FL)'!B48</f>
        <v>11.75</v>
      </c>
      <c r="C118" s="1">
        <f>'Closed End Seconds (FL)'!C48</f>
        <v>108.375</v>
      </c>
      <c r="D118" s="1">
        <f>'Closed End Seconds (FL)'!D48</f>
        <v>107.875</v>
      </c>
      <c r="E118" s="106">
        <f>'Closed End Seconds (FL)'!E48</f>
        <v>106.4</v>
      </c>
      <c r="F118"/>
      <c r="H118" s="53">
        <v>37</v>
      </c>
      <c r="I118" s="68">
        <f t="shared" si="0"/>
        <v>11.75</v>
      </c>
      <c r="J118" s="69">
        <f t="shared" si="4"/>
        <v>108.375</v>
      </c>
      <c r="K118" s="69">
        <f t="shared" si="5"/>
        <v>107.875</v>
      </c>
      <c r="L118" s="70">
        <f t="shared" si="6"/>
        <v>106.4</v>
      </c>
      <c r="M118"/>
      <c r="N118" s="52">
        <v>11.75</v>
      </c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</row>
    <row r="119" spans="2:37">
      <c r="B119" s="2">
        <f>'Closed End Seconds (FL)'!B49</f>
        <v>11.875</v>
      </c>
      <c r="C119" s="1">
        <f>'Closed End Seconds (FL)'!C49</f>
        <v>108.5625</v>
      </c>
      <c r="D119" s="1">
        <f>'Closed End Seconds (FL)'!D49</f>
        <v>108.0625</v>
      </c>
      <c r="E119" s="106">
        <f>'Closed End Seconds (FL)'!E49</f>
        <v>106.65</v>
      </c>
      <c r="F119"/>
      <c r="H119" s="53">
        <v>38</v>
      </c>
      <c r="I119" s="68">
        <f t="shared" si="0"/>
        <v>11.875</v>
      </c>
      <c r="J119" s="69">
        <f t="shared" si="4"/>
        <v>108.5625</v>
      </c>
      <c r="K119" s="69">
        <f t="shared" si="5"/>
        <v>108.0625</v>
      </c>
      <c r="L119" s="70">
        <f t="shared" si="6"/>
        <v>106.65</v>
      </c>
      <c r="M119"/>
      <c r="N119" s="52">
        <v>11.875</v>
      </c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</row>
    <row r="120" spans="2:37">
      <c r="B120" s="2">
        <f>'Closed End Seconds (FL)'!B50</f>
        <v>11.999000000000001</v>
      </c>
      <c r="C120" s="1">
        <f>'Closed End Seconds (FL)'!C50</f>
        <v>108.75</v>
      </c>
      <c r="D120" s="1">
        <f>'Closed End Seconds (FL)'!D50</f>
        <v>108.25</v>
      </c>
      <c r="E120" s="106">
        <f>'Closed End Seconds (FL)'!E50</f>
        <v>106.9</v>
      </c>
      <c r="F120"/>
      <c r="H120" s="53">
        <v>39</v>
      </c>
      <c r="I120" s="68">
        <f t="shared" si="0"/>
        <v>11.999000000000001</v>
      </c>
      <c r="J120" s="69">
        <f t="shared" si="4"/>
        <v>108.75</v>
      </c>
      <c r="K120" s="69">
        <f t="shared" si="5"/>
        <v>108.25</v>
      </c>
      <c r="L120" s="70">
        <f t="shared" si="6"/>
        <v>106.9</v>
      </c>
      <c r="M120"/>
      <c r="N120" s="52">
        <v>11.999000000000001</v>
      </c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</row>
    <row r="121" spans="2:37">
      <c r="B121" s="2">
        <f>'Closed End Seconds (FL)'!B51</f>
        <v>12.125</v>
      </c>
      <c r="C121" s="1">
        <f>'Closed End Seconds (FL)'!C51</f>
        <v>108.9375</v>
      </c>
      <c r="D121" s="1">
        <f>'Closed End Seconds (FL)'!D51</f>
        <v>108.4375</v>
      </c>
      <c r="E121" s="106">
        <f>'Closed End Seconds (FL)'!E51</f>
        <v>107.15</v>
      </c>
      <c r="F121"/>
      <c r="H121" s="53">
        <v>40</v>
      </c>
      <c r="I121" s="68">
        <f t="shared" si="0"/>
        <v>12.125</v>
      </c>
      <c r="J121" s="69">
        <f t="shared" si="4"/>
        <v>108.9375</v>
      </c>
      <c r="K121" s="69">
        <f t="shared" si="5"/>
        <v>108.4375</v>
      </c>
      <c r="L121" s="70">
        <f t="shared" si="6"/>
        <v>107.15</v>
      </c>
      <c r="M121"/>
      <c r="N121" s="52">
        <v>12.125</v>
      </c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</row>
    <row r="122" spans="2:37">
      <c r="B122" s="2">
        <f>'Closed End Seconds (FL)'!B52</f>
        <v>0</v>
      </c>
      <c r="C122" s="1">
        <f>'Closed End Seconds (FL)'!C52</f>
        <v>0</v>
      </c>
      <c r="D122" s="1">
        <f>'Closed End Seconds (FL)'!D52</f>
        <v>0</v>
      </c>
      <c r="E122" s="106">
        <f>'Closed End Seconds (FL)'!E52</f>
        <v>0</v>
      </c>
      <c r="F122"/>
      <c r="H122" s="53">
        <v>41</v>
      </c>
      <c r="I122" s="68">
        <f t="shared" si="0"/>
        <v>0</v>
      </c>
      <c r="J122" s="69">
        <f t="shared" si="4"/>
        <v>0</v>
      </c>
      <c r="K122" s="69">
        <f t="shared" si="5"/>
        <v>0</v>
      </c>
      <c r="L122" s="70">
        <f t="shared" si="6"/>
        <v>0</v>
      </c>
      <c r="M122"/>
      <c r="N122" s="52">
        <v>0</v>
      </c>
      <c r="P122" s="5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</row>
    <row r="123" spans="2:37">
      <c r="B123" s="2">
        <f>'Closed End Seconds (FL)'!B53</f>
        <v>0</v>
      </c>
      <c r="C123" s="1">
        <f>'Closed End Seconds (FL)'!C53</f>
        <v>0</v>
      </c>
      <c r="D123" s="1">
        <f>'Closed End Seconds (FL)'!D53</f>
        <v>0</v>
      </c>
      <c r="E123" s="106">
        <f>'Closed End Seconds (FL)'!E53</f>
        <v>0</v>
      </c>
      <c r="F123"/>
      <c r="H123" s="53">
        <v>42</v>
      </c>
      <c r="I123" s="68">
        <f t="shared" si="0"/>
        <v>0</v>
      </c>
      <c r="J123" s="69">
        <f t="shared" si="4"/>
        <v>0</v>
      </c>
      <c r="K123" s="69">
        <f t="shared" si="5"/>
        <v>0</v>
      </c>
      <c r="L123" s="70">
        <f t="shared" si="6"/>
        <v>0</v>
      </c>
      <c r="M123"/>
      <c r="N123" s="52">
        <v>0</v>
      </c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</row>
    <row r="124" spans="2:37">
      <c r="B124" s="2">
        <f>'Closed End Seconds (FL)'!B54</f>
        <v>0</v>
      </c>
      <c r="C124" s="1">
        <f>'Closed End Seconds (FL)'!C54</f>
        <v>0</v>
      </c>
      <c r="D124" s="1">
        <f>'Closed End Seconds (FL)'!D54</f>
        <v>0</v>
      </c>
      <c r="E124" s="106">
        <f>'Closed End Seconds (FL)'!E54</f>
        <v>0</v>
      </c>
      <c r="F124"/>
      <c r="H124" s="53">
        <v>43</v>
      </c>
      <c r="I124" s="68">
        <f t="shared" ref="I124:I127" si="11">B124</f>
        <v>0</v>
      </c>
      <c r="J124" s="69">
        <f t="shared" ref="J124:J127" si="12">C124+$G$82</f>
        <v>0</v>
      </c>
      <c r="K124" s="69">
        <f t="shared" ref="K124:K127" si="13">D124+$G$82</f>
        <v>0</v>
      </c>
      <c r="L124" s="70">
        <f t="shared" ref="L124:L127" si="14">E124+$G$82</f>
        <v>0</v>
      </c>
      <c r="M124"/>
      <c r="N124" s="52">
        <v>0</v>
      </c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</row>
    <row r="125" spans="2:37">
      <c r="B125" s="2">
        <f>'Closed End Seconds (FL)'!B55</f>
        <v>0</v>
      </c>
      <c r="C125" s="1">
        <f>'Closed End Seconds (FL)'!C55</f>
        <v>0</v>
      </c>
      <c r="D125" s="1">
        <f>'Closed End Seconds (FL)'!D55</f>
        <v>0</v>
      </c>
      <c r="E125" s="106">
        <f>'Closed End Seconds (FL)'!E55</f>
        <v>0</v>
      </c>
      <c r="F125"/>
      <c r="H125" s="53">
        <v>44</v>
      </c>
      <c r="I125" s="68">
        <f t="shared" si="11"/>
        <v>0</v>
      </c>
      <c r="J125" s="69">
        <f t="shared" si="12"/>
        <v>0</v>
      </c>
      <c r="K125" s="69">
        <f t="shared" si="13"/>
        <v>0</v>
      </c>
      <c r="L125" s="70">
        <f t="shared" si="14"/>
        <v>0</v>
      </c>
      <c r="M125"/>
      <c r="N125" s="52">
        <v>0</v>
      </c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</row>
    <row r="126" spans="2:37">
      <c r="B126" s="2"/>
      <c r="C126" s="1"/>
      <c r="D126" s="1"/>
      <c r="E126" s="106"/>
      <c r="F126"/>
      <c r="H126" s="53">
        <v>45</v>
      </c>
      <c r="I126" s="68">
        <f t="shared" si="11"/>
        <v>0</v>
      </c>
      <c r="J126" s="69">
        <f t="shared" si="12"/>
        <v>0</v>
      </c>
      <c r="K126" s="69">
        <f t="shared" si="13"/>
        <v>0</v>
      </c>
      <c r="L126" s="70">
        <f t="shared" si="14"/>
        <v>0</v>
      </c>
      <c r="M126"/>
      <c r="N126" s="52">
        <v>0</v>
      </c>
      <c r="P126" s="82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</row>
    <row r="127" spans="2:37">
      <c r="B127" s="2"/>
      <c r="C127" s="1"/>
      <c r="D127" s="1"/>
      <c r="E127" s="106"/>
      <c r="F127"/>
      <c r="H127" s="53">
        <v>46</v>
      </c>
      <c r="I127" s="68">
        <f t="shared" si="11"/>
        <v>0</v>
      </c>
      <c r="J127" s="69">
        <f t="shared" si="12"/>
        <v>0</v>
      </c>
      <c r="K127" s="69">
        <f t="shared" si="13"/>
        <v>0</v>
      </c>
      <c r="L127" s="70">
        <f t="shared" si="14"/>
        <v>0</v>
      </c>
      <c r="M127"/>
      <c r="O127"/>
      <c r="P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</row>
    <row r="128" spans="2:37" ht="16" thickBot="1">
      <c r="H128" s="53">
        <v>47</v>
      </c>
      <c r="M128"/>
      <c r="O128"/>
      <c r="P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</row>
    <row r="129" spans="2:37">
      <c r="J129" s="107" cm="1">
        <f t="array" aca="1" ref="J129" ca="1">IFERROR(INDEX(OFFSET(J82:J126,0,-2),MATCH(TRUE,($J$82:$J$126)&gt;=IF(E136&gt;100,100,E136),0)),INDEX(OFFSET($J$82:$J$126,0,-2),MATCH(MAX($J$82:$J$126),$J$82:$J$126,0)))</f>
        <v>1</v>
      </c>
      <c r="K129" s="108" cm="1">
        <f t="array" aca="1" ref="K129" ca="1">IFERROR(INDEX(OFFSET(K84:K126,0,-3),MATCH(TRUE,($K$84:$K$126)&gt;=IF(E136&gt;100,100,E136),0)),INDEX(OFFSET($K$84:$K$126,0,-3),MATCH(MAX($K$84:$K$126),$K$84:$K$126,0)))</f>
        <v>3</v>
      </c>
      <c r="L129" s="109" cm="1">
        <f t="array" aca="1" ref="L129" ca="1">IFERROR(INDEX(OFFSET(L90:L126,0,-4),MATCH(TRUE,($L$90:$L$126)&gt;=IF(E136&gt;100,100,E136),0)),INDEX(OFFSET($L$90:$L$126,0,-4),MATCH(MAX($L$90:$L$126),$L$90:$L$126,0)))</f>
        <v>11</v>
      </c>
      <c r="M129"/>
      <c r="O129"/>
      <c r="P129"/>
      <c r="Q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</row>
    <row r="130" spans="2:37">
      <c r="I130" s="48" t="s">
        <v>41</v>
      </c>
      <c r="J130" s="114">
        <f ca="1">VLOOKUP(J129,H82:I128,2,FALSE)</f>
        <v>7.25</v>
      </c>
      <c r="K130" s="111">
        <f ca="1">VLOOKUP(K129,H82:I128,2,FALSE)</f>
        <v>7.4989999999999997</v>
      </c>
      <c r="L130" s="55">
        <f ca="1">VLOOKUP(L129,H82:L128,2,FALSE)</f>
        <v>8.4990000000000006</v>
      </c>
      <c r="M130"/>
      <c r="O130"/>
      <c r="P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</row>
    <row r="131" spans="2:37" ht="16" thickBot="1">
      <c r="B131"/>
      <c r="C131"/>
      <c r="D131"/>
      <c r="E131"/>
      <c r="F131"/>
      <c r="J131" s="56">
        <f>IF(G89=J81,J130,0)</f>
        <v>0</v>
      </c>
      <c r="K131" s="116">
        <f>IF(G89=K81,K130,0)</f>
        <v>0</v>
      </c>
      <c r="L131" s="57">
        <f>IF(G89=L81,L130,0)</f>
        <v>0</v>
      </c>
      <c r="M131"/>
      <c r="N131"/>
      <c r="O131"/>
      <c r="P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</row>
    <row r="132" spans="2:37" ht="16" thickBot="1">
      <c r="B132" s="395">
        <f>'Closed End Seconds (FL)'!S58</f>
        <v>0</v>
      </c>
      <c r="C132" s="396"/>
      <c r="D132" s="397"/>
      <c r="E132" s="183" t="s">
        <v>37</v>
      </c>
      <c r="F132"/>
      <c r="J132" s="114">
        <f ca="1">VLOOKUP(J129,H82:J128,3,FALSE)</f>
        <v>97.875</v>
      </c>
      <c r="K132" s="111">
        <f ca="1">VLOOKUP(K129,H82:K128,4,FALSE)</f>
        <v>98.625</v>
      </c>
      <c r="L132" s="112">
        <f ca="1">VLOOKUP(L129,H82:L128,5,FALSE)</f>
        <v>98.9</v>
      </c>
      <c r="M132"/>
      <c r="N132"/>
      <c r="O132"/>
      <c r="P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</row>
    <row r="133" spans="2:37" ht="17" thickBot="1">
      <c r="B133" s="400">
        <f>'Closed End Seconds (FL)'!U58</f>
        <v>102</v>
      </c>
      <c r="C133" s="401"/>
      <c r="D133" s="402"/>
      <c r="E133" s="269" t="str" cm="1">
        <f t="array" ref="E133">IF(OR('Closed End Seconds (FL)'!U18=I3:I5),B133,"")</f>
        <v/>
      </c>
      <c r="F133"/>
      <c r="J133" s="54">
        <f>IF(G89=J81,J132,0)</f>
        <v>0</v>
      </c>
      <c r="K133" s="115">
        <f>IF(G89=K81,K132,0)</f>
        <v>0</v>
      </c>
      <c r="L133" s="113">
        <f>IF(G89=L81,L132,0)</f>
        <v>0</v>
      </c>
      <c r="M133"/>
      <c r="N133" s="52">
        <f>IF(SUM(J131:L131)&gt;E143,E143,SUM(J131:L131))</f>
        <v>0</v>
      </c>
      <c r="O133"/>
      <c r="P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</row>
    <row r="134" spans="2:37">
      <c r="E134" s="184"/>
      <c r="F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</row>
    <row r="135" spans="2:37" ht="16" thickBot="1">
      <c r="F135"/>
      <c r="N135" s="52">
        <f>SUM(J133:L133)</f>
        <v>0</v>
      </c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</row>
    <row r="136" spans="2:37" ht="16" thickBot="1">
      <c r="E136" s="101">
        <f>MIN(E133:E135)</f>
        <v>0</v>
      </c>
      <c r="F136"/>
      <c r="G136"/>
      <c r="H136"/>
      <c r="I136"/>
      <c r="J136"/>
      <c r="K136"/>
      <c r="L136"/>
      <c r="M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</row>
    <row r="137" spans="2:37">
      <c r="F137"/>
      <c r="G137"/>
      <c r="H137"/>
      <c r="I137" s="391" t="s">
        <v>123</v>
      </c>
      <c r="J137" s="392"/>
      <c r="K137" s="87">
        <f>IF(L137="","",N133)</f>
        <v>0</v>
      </c>
      <c r="L137" s="88">
        <f>IF(IF(E143="",IF(N135&gt;E136,E136,N135),IF(N135&gt;INDEX($J$82:$L$127,MATCH($E$143,$I$82:$I$127,0),MATCH($G$89,$J$81:$L$81,0)),INDEX($J$82:$L$127,MATCH($E$143,$I$82:$I$127,0),MATCH($G$89,$J$81:$L$81,0)),N135))&lt;E147,NA(),IF(E143="",IF(N135&gt;E136,E136,N135),IF(N135&gt;INDEX($J$82:$L$127,MATCH($E$143,$I$82:$I$127,0),MATCH($G$89,$J$81:$L$81,0)),INDEX($J$82:$L$127,MATCH($E$143,$I$82:$I$127,0),MATCH($G$89,$J$81:$L$81,0)),N135)))</f>
        <v>0</v>
      </c>
      <c r="M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</row>
    <row r="138" spans="2:37" ht="16" thickBot="1">
      <c r="F138"/>
      <c r="G138"/>
      <c r="H138"/>
      <c r="I138" s="393"/>
      <c r="J138" s="394"/>
      <c r="K138" s="89"/>
      <c r="L138" s="90"/>
      <c r="M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</row>
    <row r="139" spans="2:37">
      <c r="B139"/>
      <c r="C139"/>
      <c r="D139"/>
      <c r="F139"/>
      <c r="G139"/>
      <c r="H139"/>
      <c r="I139" s="65"/>
      <c r="J139" s="65"/>
      <c r="K139" s="86"/>
      <c r="L139" s="86"/>
      <c r="M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</row>
    <row r="140" spans="2:37" ht="16" thickBot="1">
      <c r="B140"/>
      <c r="C140"/>
      <c r="D140"/>
      <c r="E140"/>
      <c r="F140"/>
      <c r="G140"/>
      <c r="H140"/>
      <c r="I140"/>
      <c r="J140"/>
      <c r="K140"/>
      <c r="L140"/>
      <c r="M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</row>
    <row r="141" spans="2:37" ht="16" thickBot="1">
      <c r="B141" s="395">
        <f>'Closed End Seconds (FL)'!S59</f>
        <v>0</v>
      </c>
      <c r="C141" s="396"/>
      <c r="D141" s="397"/>
      <c r="E141" s="85" t="s">
        <v>37</v>
      </c>
      <c r="F141"/>
      <c r="G141"/>
      <c r="H141"/>
      <c r="I141"/>
      <c r="J141"/>
      <c r="K141"/>
      <c r="L141"/>
      <c r="M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</row>
    <row r="142" spans="2:37" ht="17" thickBot="1">
      <c r="B142" s="400" t="str">
        <f>'Closed End Seconds (FL)'!T59</f>
        <v>Max Rate (CA)</v>
      </c>
      <c r="C142" s="401"/>
      <c r="D142" s="402"/>
      <c r="E142" s="100" t="str">
        <f>IF(OR('Closed End Seconds (FL)'!U22=N4),B142,"")</f>
        <v/>
      </c>
      <c r="F142"/>
      <c r="G142"/>
      <c r="H142"/>
      <c r="I142"/>
      <c r="J142"/>
      <c r="K142"/>
      <c r="L142"/>
      <c r="M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</row>
    <row r="143" spans="2:37" ht="16" thickBot="1">
      <c r="E143" s="101" t="str">
        <f>IF(MIN(E142)=0,"",MIN(E142))</f>
        <v/>
      </c>
      <c r="F143"/>
      <c r="G143"/>
      <c r="H143"/>
      <c r="I143"/>
      <c r="J143"/>
      <c r="K143"/>
      <c r="L143"/>
      <c r="M143"/>
    </row>
    <row r="144" spans="2:37" ht="16" thickBot="1">
      <c r="F144"/>
      <c r="G144"/>
      <c r="H144"/>
      <c r="I144"/>
      <c r="J144"/>
      <c r="K144"/>
      <c r="L144"/>
      <c r="M144"/>
    </row>
    <row r="145" spans="2:13" s="48" customFormat="1" ht="16" thickBot="1">
      <c r="B145" s="395">
        <f>'Closed End Seconds (FL)'!S60</f>
        <v>0</v>
      </c>
      <c r="C145" s="396"/>
      <c r="D145" s="397"/>
      <c r="E145" s="85" t="s">
        <v>37</v>
      </c>
      <c r="F145"/>
      <c r="G145"/>
      <c r="H145"/>
      <c r="I145"/>
      <c r="J145"/>
      <c r="K145"/>
      <c r="L145"/>
      <c r="M145"/>
    </row>
    <row r="146" spans="2:13" s="48" customFormat="1" ht="17" thickBot="1">
      <c r="B146" s="400" t="str">
        <f>'Closed End Seconds (FL)'!T60</f>
        <v>NC Floor Price</v>
      </c>
      <c r="C146" s="401"/>
      <c r="D146" s="402"/>
      <c r="E146" s="100" t="str">
        <f>IF(OR('Closed End Seconds (FL)'!U22=N5),B146,"")</f>
        <v/>
      </c>
      <c r="F146"/>
      <c r="G146"/>
      <c r="H146"/>
      <c r="I146"/>
      <c r="J146"/>
      <c r="K146"/>
      <c r="L146"/>
      <c r="M146"/>
    </row>
    <row r="147" spans="2:13" s="48" customFormat="1" ht="16" thickBot="1">
      <c r="E147" s="101">
        <f>IF(MIN(E146)=0,0,MIN(E146))</f>
        <v>0</v>
      </c>
      <c r="F147"/>
      <c r="G147"/>
      <c r="H147"/>
      <c r="I147"/>
      <c r="J147"/>
      <c r="K147"/>
      <c r="L147"/>
      <c r="M147"/>
    </row>
    <row r="148" spans="2:13" s="48" customFormat="1">
      <c r="F148"/>
      <c r="G148"/>
      <c r="H148"/>
      <c r="I148"/>
      <c r="J148"/>
      <c r="K148"/>
      <c r="L148"/>
      <c r="M148"/>
    </row>
    <row r="149" spans="2:13" s="48" customFormat="1">
      <c r="B149"/>
      <c r="C149"/>
      <c r="D149"/>
      <c r="E149"/>
      <c r="F149"/>
      <c r="G149"/>
      <c r="H149"/>
      <c r="I149"/>
      <c r="J149"/>
      <c r="K149"/>
      <c r="L149"/>
      <c r="M149"/>
    </row>
    <row r="150" spans="2:13" s="48" customFormat="1">
      <c r="B150"/>
      <c r="C150"/>
      <c r="D150"/>
      <c r="E150"/>
      <c r="F150"/>
      <c r="G150"/>
      <c r="H150"/>
      <c r="I150"/>
      <c r="J150"/>
      <c r="K150"/>
      <c r="L150"/>
      <c r="M150"/>
    </row>
    <row r="151" spans="2:13" s="48" customFormat="1">
      <c r="B151"/>
      <c r="C151"/>
      <c r="D151"/>
      <c r="E151"/>
      <c r="F151"/>
      <c r="G151"/>
      <c r="H151"/>
      <c r="I151"/>
      <c r="J151"/>
      <c r="K151"/>
      <c r="L151"/>
      <c r="M151"/>
    </row>
    <row r="152" spans="2:13" s="48" customFormat="1">
      <c r="B152"/>
      <c r="C152"/>
      <c r="D152"/>
      <c r="E152"/>
      <c r="F152"/>
      <c r="G152"/>
      <c r="H152"/>
      <c r="I152"/>
      <c r="J152"/>
      <c r="K152"/>
      <c r="L152"/>
      <c r="M152"/>
    </row>
    <row r="153" spans="2:13" s="48" customFormat="1">
      <c r="B153"/>
      <c r="C153"/>
      <c r="D153"/>
      <c r="E153"/>
      <c r="F153"/>
      <c r="G153"/>
      <c r="H153"/>
      <c r="I153"/>
      <c r="J153"/>
      <c r="K153"/>
      <c r="L153"/>
      <c r="M153"/>
    </row>
    <row r="154" spans="2:13" s="48" customFormat="1">
      <c r="B154"/>
      <c r="C154"/>
      <c r="D154"/>
      <c r="E154"/>
      <c r="F154"/>
      <c r="G154"/>
      <c r="H154"/>
      <c r="I154"/>
      <c r="J154"/>
      <c r="K154"/>
      <c r="L154"/>
      <c r="M154"/>
    </row>
    <row r="155" spans="2:13" s="48" customFormat="1">
      <c r="B155"/>
      <c r="C155"/>
      <c r="D155"/>
      <c r="E155"/>
      <c r="F155"/>
      <c r="G155"/>
      <c r="H155"/>
      <c r="I155"/>
      <c r="J155"/>
      <c r="K155"/>
      <c r="L155"/>
      <c r="M155"/>
    </row>
    <row r="156" spans="2:13" s="48" customFormat="1">
      <c r="B156"/>
      <c r="C156"/>
      <c r="D156"/>
      <c r="E156"/>
      <c r="F156"/>
      <c r="G156"/>
      <c r="H156"/>
      <c r="I156"/>
      <c r="J156"/>
      <c r="K156"/>
      <c r="L156"/>
      <c r="M156"/>
    </row>
    <row r="157" spans="2:13" s="48" customFormat="1">
      <c r="B157"/>
      <c r="C157"/>
      <c r="D157"/>
      <c r="E157"/>
      <c r="F157"/>
      <c r="G157"/>
      <c r="H157"/>
      <c r="I157"/>
      <c r="J157"/>
      <c r="K157"/>
      <c r="L157"/>
      <c r="M157"/>
    </row>
    <row r="158" spans="2:13" s="48" customFormat="1">
      <c r="B158"/>
      <c r="C158"/>
      <c r="D158"/>
      <c r="E158"/>
      <c r="F158"/>
      <c r="G158"/>
      <c r="H158"/>
      <c r="I158"/>
      <c r="J158"/>
      <c r="K158"/>
      <c r="L158"/>
      <c r="M158"/>
    </row>
    <row r="159" spans="2:13" s="48" customFormat="1">
      <c r="B159"/>
      <c r="C159"/>
      <c r="D159"/>
      <c r="E159"/>
      <c r="F159"/>
      <c r="G159"/>
      <c r="H159"/>
      <c r="I159"/>
      <c r="J159"/>
      <c r="K159"/>
      <c r="L159"/>
      <c r="M159"/>
    </row>
    <row r="160" spans="2:13" s="48" customFormat="1">
      <c r="B160"/>
      <c r="C160"/>
      <c r="D160"/>
      <c r="E160"/>
      <c r="F160"/>
      <c r="G160"/>
      <c r="H160"/>
      <c r="I160"/>
      <c r="J160"/>
      <c r="K160"/>
      <c r="L160"/>
      <c r="M160"/>
    </row>
    <row r="161" spans="2:13" s="48" customFormat="1">
      <c r="B161"/>
      <c r="C161"/>
      <c r="D161"/>
      <c r="E161"/>
      <c r="F161"/>
      <c r="G161"/>
      <c r="H161"/>
      <c r="I161"/>
      <c r="J161"/>
      <c r="K161"/>
      <c r="L161"/>
      <c r="M161"/>
    </row>
    <row r="162" spans="2:13" s="48" customFormat="1">
      <c r="B162"/>
      <c r="C162"/>
      <c r="D162"/>
      <c r="E162"/>
      <c r="F162"/>
      <c r="G162"/>
      <c r="H162"/>
      <c r="I162"/>
      <c r="J162"/>
      <c r="K162"/>
      <c r="L162"/>
      <c r="M162"/>
    </row>
    <row r="163" spans="2:13" s="48" customFormat="1">
      <c r="B163"/>
      <c r="C163"/>
      <c r="D163"/>
      <c r="E163"/>
      <c r="F163"/>
      <c r="G163"/>
      <c r="H163"/>
      <c r="I163"/>
      <c r="J163"/>
      <c r="K163"/>
      <c r="L163"/>
      <c r="M163"/>
    </row>
    <row r="164" spans="2:13" s="48" customFormat="1">
      <c r="B164"/>
      <c r="C164"/>
      <c r="D164"/>
      <c r="E164"/>
      <c r="F164"/>
      <c r="G164"/>
      <c r="H164"/>
      <c r="I164"/>
      <c r="J164"/>
      <c r="K164"/>
      <c r="L164"/>
      <c r="M164"/>
    </row>
    <row r="165" spans="2:13" s="48" customFormat="1">
      <c r="B165"/>
      <c r="C165"/>
      <c r="D165"/>
      <c r="E165"/>
      <c r="F165"/>
      <c r="G165"/>
      <c r="H165"/>
      <c r="I165"/>
      <c r="J165"/>
      <c r="K165"/>
      <c r="L165"/>
      <c r="M165"/>
    </row>
    <row r="166" spans="2:13" s="48" customFormat="1">
      <c r="B166"/>
      <c r="C166"/>
      <c r="D166"/>
      <c r="E166"/>
      <c r="F166"/>
      <c r="G166"/>
      <c r="H166"/>
      <c r="I166"/>
      <c r="J166"/>
      <c r="K166"/>
      <c r="L166"/>
      <c r="M166"/>
    </row>
    <row r="167" spans="2:13" s="48" customFormat="1">
      <c r="E167"/>
      <c r="F167"/>
      <c r="G167"/>
      <c r="H167"/>
      <c r="I167"/>
      <c r="J167"/>
      <c r="K167"/>
      <c r="L167"/>
      <c r="M167"/>
    </row>
    <row r="168" spans="2:13" s="48" customFormat="1">
      <c r="F168"/>
      <c r="G168"/>
      <c r="H168"/>
      <c r="I168"/>
      <c r="J168"/>
      <c r="K168"/>
      <c r="L168"/>
      <c r="M168"/>
    </row>
    <row r="169" spans="2:13" s="48" customFormat="1">
      <c r="F169"/>
      <c r="G169"/>
      <c r="H169"/>
      <c r="I169"/>
      <c r="J169"/>
      <c r="K169"/>
      <c r="L169"/>
      <c r="M169"/>
    </row>
    <row r="170" spans="2:13" s="48" customFormat="1">
      <c r="F170"/>
      <c r="G170"/>
      <c r="H170"/>
      <c r="I170"/>
      <c r="J170"/>
      <c r="K170"/>
      <c r="L170"/>
      <c r="M170"/>
    </row>
    <row r="171" spans="2:13" s="48" customFormat="1">
      <c r="F171"/>
      <c r="G171"/>
      <c r="H171"/>
      <c r="I171"/>
      <c r="J171"/>
      <c r="K171"/>
      <c r="L171"/>
      <c r="M171"/>
    </row>
    <row r="172" spans="2:13" s="48" customFormat="1">
      <c r="F172"/>
      <c r="G172"/>
      <c r="H172"/>
      <c r="I172"/>
      <c r="J172"/>
      <c r="K172"/>
      <c r="L172"/>
      <c r="M172"/>
    </row>
    <row r="173" spans="2:13" s="48" customFormat="1">
      <c r="F173"/>
      <c r="G173"/>
      <c r="H173"/>
      <c r="I173"/>
      <c r="J173"/>
      <c r="K173"/>
      <c r="L173"/>
      <c r="M173"/>
    </row>
    <row r="174" spans="2:13" s="48" customFormat="1">
      <c r="F174"/>
      <c r="G174"/>
      <c r="H174"/>
      <c r="I174"/>
      <c r="J174"/>
      <c r="K174"/>
      <c r="L174"/>
      <c r="M174"/>
    </row>
    <row r="175" spans="2:13" s="48" customFormat="1">
      <c r="F175"/>
      <c r="G175"/>
      <c r="H175"/>
      <c r="I175"/>
      <c r="J175"/>
      <c r="K175"/>
      <c r="L175"/>
      <c r="M175"/>
    </row>
    <row r="176" spans="2:13" s="48" customFormat="1">
      <c r="F176"/>
      <c r="G176"/>
      <c r="H176"/>
      <c r="I176"/>
      <c r="J176"/>
      <c r="K176"/>
      <c r="L176"/>
      <c r="M176"/>
    </row>
    <row r="177" spans="6:13" s="48" customFormat="1">
      <c r="F177"/>
      <c r="G177"/>
      <c r="H177"/>
      <c r="I177"/>
      <c r="J177"/>
      <c r="K177"/>
      <c r="L177"/>
      <c r="M177"/>
    </row>
    <row r="178" spans="6:13" s="48" customFormat="1">
      <c r="F178"/>
      <c r="G178"/>
      <c r="H178"/>
      <c r="I178"/>
      <c r="J178"/>
      <c r="K178"/>
      <c r="L178"/>
      <c r="M178"/>
    </row>
    <row r="179" spans="6:13" s="48" customFormat="1">
      <c r="F179"/>
      <c r="G179"/>
      <c r="H179"/>
      <c r="I179"/>
      <c r="J179"/>
      <c r="K179"/>
      <c r="L179"/>
      <c r="M179"/>
    </row>
    <row r="180" spans="6:13" s="48" customFormat="1">
      <c r="G180"/>
      <c r="H180"/>
      <c r="I180"/>
      <c r="J180"/>
      <c r="K180"/>
      <c r="L180"/>
      <c r="M180"/>
    </row>
    <row r="181" spans="6:13" s="48" customFormat="1">
      <c r="G181"/>
      <c r="H181"/>
      <c r="I181"/>
      <c r="J181"/>
      <c r="K181"/>
      <c r="L181"/>
      <c r="M181"/>
    </row>
    <row r="182" spans="6:13" s="48" customFormat="1">
      <c r="G182"/>
      <c r="H182"/>
      <c r="I182"/>
      <c r="J182"/>
      <c r="K182"/>
      <c r="L182"/>
      <c r="M182"/>
    </row>
    <row r="183" spans="6:13" s="48" customFormat="1">
      <c r="G183"/>
      <c r="H183"/>
      <c r="I183"/>
      <c r="J183"/>
      <c r="K183"/>
      <c r="L183"/>
      <c r="M183"/>
    </row>
    <row r="184" spans="6:13" s="48" customFormat="1">
      <c r="G184"/>
      <c r="H184"/>
      <c r="I184"/>
      <c r="J184"/>
      <c r="K184"/>
      <c r="L184"/>
      <c r="M184"/>
    </row>
  </sheetData>
  <sheetProtection selectLockedCells="1"/>
  <autoFilter ref="Y99:AB128" xr:uid="{17C51F6D-0E32-4C6A-83A3-7FE16A30F235}">
    <sortState xmlns:xlrd2="http://schemas.microsoft.com/office/spreadsheetml/2017/richdata2" ref="Y100:AB128">
      <sortCondition ref="Y99:Y128"/>
    </sortState>
  </autoFilter>
  <mergeCells count="9">
    <mergeCell ref="B145:D145"/>
    <mergeCell ref="B146:D146"/>
    <mergeCell ref="B141:D141"/>
    <mergeCell ref="B142:D142"/>
    <mergeCell ref="I137:J137"/>
    <mergeCell ref="I138:J138"/>
    <mergeCell ref="B132:D132"/>
    <mergeCell ref="B80:E80"/>
    <mergeCell ref="B133:D133"/>
  </mergeCells>
  <phoneticPr fontId="41" type="noConversion"/>
  <conditionalFormatting sqref="AC39">
    <cfRule type="expression" priority="2">
      <formula>#REF!</formula>
    </cfRule>
    <cfRule type="expression" priority="3">
      <formula>#REF!</formula>
    </cfRule>
  </conditionalFormatting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B9206-C5B4-4826-847A-969D79AFD73F}">
  <sheetPr codeName="Sheet7">
    <tabColor rgb="FF00B050"/>
    <pageSetUpPr fitToPage="1"/>
  </sheetPr>
  <dimension ref="A1:AN117"/>
  <sheetViews>
    <sheetView showGridLines="0" tabSelected="1" zoomScale="90" zoomScaleNormal="90" workbookViewId="0"/>
  </sheetViews>
  <sheetFormatPr baseColWidth="10" defaultColWidth="9.1640625" defaultRowHeight="15"/>
  <cols>
    <col min="1" max="1" width="2.6640625" style="59" customWidth="1"/>
    <col min="2" max="3" width="16.6640625" style="59" customWidth="1"/>
    <col min="4" max="4" width="21.6640625" style="59" customWidth="1"/>
    <col min="5" max="5" width="16.6640625" style="59" customWidth="1"/>
    <col min="6" max="6" width="2.33203125" style="59" customWidth="1"/>
    <col min="7" max="7" width="15" style="59" customWidth="1"/>
    <col min="8" max="8" width="12.5" style="59" customWidth="1"/>
    <col min="9" max="16" width="15.6640625" style="59" customWidth="1"/>
    <col min="17" max="17" width="16.33203125" style="59" bestFit="1" customWidth="1"/>
    <col min="18" max="18" width="2.5" style="59" customWidth="1"/>
    <col min="19" max="19" width="4.5" style="59" customWidth="1"/>
    <col min="20" max="21" width="22.6640625" style="59" customWidth="1"/>
    <col min="22" max="22" width="23.83203125" style="59" customWidth="1"/>
    <col min="23" max="23" width="28.5" style="59" customWidth="1"/>
    <col min="24" max="24" width="5.5" style="59" customWidth="1"/>
    <col min="25" max="25" width="12.33203125" customWidth="1"/>
    <col min="26" max="26" width="14.1640625" customWidth="1"/>
    <col min="27" max="27" width="14.5" customWidth="1"/>
    <col min="28" max="28" width="25.1640625" customWidth="1"/>
    <col min="29" max="30" width="9.1640625" customWidth="1"/>
    <col min="31" max="31" width="9.5" customWidth="1"/>
    <col min="32" max="32" width="17.1640625" customWidth="1"/>
    <col min="33" max="34" width="9.1640625" customWidth="1"/>
    <col min="35" max="46" width="9.1640625" style="59" customWidth="1"/>
    <col min="47" max="16384" width="9.1640625" style="59"/>
  </cols>
  <sheetData>
    <row r="1" spans="1:24" ht="15" customHeight="1">
      <c r="I1" s="375"/>
      <c r="J1" s="375"/>
      <c r="K1" s="375"/>
      <c r="L1" s="375"/>
      <c r="M1" s="117"/>
      <c r="N1" s="213"/>
      <c r="O1" s="165"/>
      <c r="P1" s="376" t="s">
        <v>358</v>
      </c>
      <c r="Q1" s="376"/>
      <c r="R1" s="213"/>
      <c r="T1"/>
      <c r="U1"/>
      <c r="V1"/>
      <c r="W1"/>
      <c r="X1"/>
    </row>
    <row r="2" spans="1:24" ht="15" customHeight="1">
      <c r="B2"/>
      <c r="C2"/>
      <c r="D2"/>
      <c r="I2" s="375"/>
      <c r="J2" s="375"/>
      <c r="K2" s="375"/>
      <c r="L2" s="375"/>
      <c r="M2" s="117"/>
      <c r="N2" s="213"/>
      <c r="O2" s="165"/>
      <c r="P2" s="376"/>
      <c r="Q2" s="376"/>
      <c r="R2" s="213"/>
      <c r="T2"/>
      <c r="U2"/>
      <c r="V2"/>
      <c r="W2"/>
      <c r="X2"/>
    </row>
    <row r="3" spans="1:24" ht="15" customHeight="1">
      <c r="B3"/>
      <c r="C3"/>
      <c r="D3"/>
      <c r="I3" s="172"/>
      <c r="J3" s="172"/>
      <c r="K3" s="172"/>
      <c r="L3" s="172"/>
      <c r="M3" s="118"/>
      <c r="N3" s="214"/>
      <c r="O3" s="174"/>
      <c r="P3" s="174"/>
      <c r="Q3" s="173" t="s">
        <v>159</v>
      </c>
      <c r="R3" s="214"/>
    </row>
    <row r="4" spans="1:24" ht="15" customHeight="1">
      <c r="B4"/>
      <c r="C4"/>
      <c r="D4"/>
      <c r="I4" s="172"/>
      <c r="J4" s="172"/>
      <c r="K4" s="172"/>
      <c r="L4" s="172"/>
      <c r="M4" s="119"/>
      <c r="N4" s="215"/>
      <c r="O4" s="377" t="s">
        <v>43</v>
      </c>
      <c r="P4" s="377"/>
      <c r="Q4" s="377"/>
      <c r="R4" s="215"/>
      <c r="U4" s="110"/>
      <c r="V4" s="110"/>
    </row>
    <row r="5" spans="1:24">
      <c r="L5" s="120"/>
      <c r="M5" s="120"/>
      <c r="N5" s="216"/>
      <c r="O5" s="154"/>
      <c r="P5" s="154"/>
      <c r="Q5" s="154"/>
      <c r="R5" s="223"/>
      <c r="U5"/>
      <c r="V5"/>
    </row>
    <row r="6" spans="1:24" ht="14.25" customHeight="1" thickBot="1">
      <c r="B6" s="156"/>
      <c r="C6" s="156"/>
      <c r="D6" s="156"/>
      <c r="E6" s="156"/>
      <c r="F6" s="156"/>
      <c r="G6" s="156"/>
      <c r="H6" s="156"/>
      <c r="I6" s="156"/>
      <c r="J6" s="156"/>
      <c r="K6" s="156"/>
      <c r="L6" s="156"/>
      <c r="M6" s="156"/>
      <c r="N6" s="217"/>
      <c r="O6" s="166" t="s">
        <v>359</v>
      </c>
      <c r="P6" s="378">
        <v>46296</v>
      </c>
      <c r="Q6" s="378"/>
      <c r="R6" s="155"/>
      <c r="S6" s="162"/>
      <c r="T6" s="162"/>
      <c r="U6" s="162"/>
      <c r="V6" s="162"/>
      <c r="W6" s="162"/>
      <c r="X6" s="162"/>
    </row>
    <row r="7" spans="1:24" ht="30.75" customHeight="1" thickBot="1">
      <c r="A7" s="231"/>
      <c r="B7" s="287" t="s">
        <v>275</v>
      </c>
      <c r="C7" s="288"/>
      <c r="D7" s="288"/>
      <c r="E7" s="289"/>
      <c r="F7" s="263"/>
      <c r="G7" s="385" t="s">
        <v>125</v>
      </c>
      <c r="H7" s="386"/>
      <c r="I7" s="386"/>
      <c r="J7" s="386"/>
      <c r="K7" s="386"/>
      <c r="L7" s="386"/>
      <c r="M7" s="386"/>
      <c r="N7" s="386"/>
      <c r="O7" s="386"/>
      <c r="P7" s="386"/>
      <c r="Q7" s="387"/>
      <c r="R7" s="222"/>
      <c r="S7" s="367" t="s">
        <v>285</v>
      </c>
      <c r="T7" s="368"/>
      <c r="U7" s="368"/>
      <c r="V7" s="368"/>
      <c r="W7" s="369"/>
      <c r="X7" s="236"/>
    </row>
    <row r="8" spans="1:24" ht="15.75" customHeight="1" thickBot="1">
      <c r="A8" s="232"/>
      <c r="B8" s="290"/>
      <c r="C8" s="291"/>
      <c r="D8" s="291"/>
      <c r="E8" s="292"/>
      <c r="F8" s="200"/>
      <c r="G8" s="388"/>
      <c r="H8" s="389"/>
      <c r="I8" s="389"/>
      <c r="J8" s="389"/>
      <c r="K8" s="389"/>
      <c r="L8" s="389"/>
      <c r="M8" s="389"/>
      <c r="N8" s="389"/>
      <c r="O8" s="389"/>
      <c r="P8" s="389"/>
      <c r="Q8" s="390"/>
      <c r="R8" s="200"/>
      <c r="S8" s="370"/>
      <c r="T8" s="371"/>
      <c r="U8" s="371"/>
      <c r="V8" s="371"/>
      <c r="W8" s="372"/>
      <c r="X8" s="237"/>
    </row>
    <row r="9" spans="1:24" ht="15.75" customHeight="1" thickBot="1">
      <c r="A9" s="232"/>
      <c r="B9" s="225"/>
      <c r="C9" s="225"/>
      <c r="D9" s="225"/>
      <c r="E9" s="225"/>
      <c r="F9" s="233"/>
      <c r="G9" s="194"/>
      <c r="H9" s="225"/>
      <c r="I9" s="225"/>
      <c r="J9" s="225"/>
      <c r="K9" s="225"/>
      <c r="L9" s="225"/>
      <c r="M9" s="225"/>
      <c r="N9" s="225"/>
      <c r="O9" s="225"/>
      <c r="P9" s="225"/>
      <c r="Q9" s="226"/>
      <c r="R9" s="200"/>
      <c r="S9" s="298" t="s">
        <v>119</v>
      </c>
      <c r="T9" s="299"/>
      <c r="U9" s="262">
        <v>0</v>
      </c>
      <c r="V9" s="238"/>
      <c r="W9" s="248"/>
      <c r="X9" s="239"/>
    </row>
    <row r="10" spans="1:24" ht="15.75" customHeight="1">
      <c r="A10" s="232"/>
      <c r="B10" s="293" t="s">
        <v>276</v>
      </c>
      <c r="C10" s="293"/>
      <c r="D10" s="293"/>
      <c r="E10" s="293"/>
      <c r="F10" s="233"/>
      <c r="G10" s="382" t="s">
        <v>360</v>
      </c>
      <c r="H10" s="383"/>
      <c r="I10" s="383"/>
      <c r="J10" s="383"/>
      <c r="K10" s="383"/>
      <c r="L10" s="383"/>
      <c r="M10" s="383"/>
      <c r="N10" s="383"/>
      <c r="O10" s="383"/>
      <c r="P10" s="383"/>
      <c r="Q10" s="384"/>
      <c r="R10" s="200"/>
      <c r="S10" s="298" t="s">
        <v>1</v>
      </c>
      <c r="T10" s="299"/>
      <c r="U10" s="157" t="s">
        <v>27</v>
      </c>
      <c r="V10" s="238"/>
      <c r="W10" s="248"/>
      <c r="X10" s="240"/>
    </row>
    <row r="11" spans="1:24" ht="14.25" customHeight="1">
      <c r="A11" s="232"/>
      <c r="B11" s="167" t="s">
        <v>361</v>
      </c>
      <c r="C11" s="168" t="s">
        <v>28</v>
      </c>
      <c r="D11" s="168" t="s">
        <v>4</v>
      </c>
      <c r="E11" s="168" t="s">
        <v>186</v>
      </c>
      <c r="F11" s="233"/>
      <c r="G11" s="170"/>
      <c r="H11" s="224"/>
      <c r="I11" s="169" t="s">
        <v>290</v>
      </c>
      <c r="J11" s="169" t="s">
        <v>134</v>
      </c>
      <c r="K11" s="169" t="s">
        <v>135</v>
      </c>
      <c r="L11" s="169" t="s">
        <v>136</v>
      </c>
      <c r="M11" s="169" t="s">
        <v>137</v>
      </c>
      <c r="N11" s="169" t="s">
        <v>138</v>
      </c>
      <c r="O11" s="169" t="s">
        <v>139</v>
      </c>
      <c r="P11" s="169" t="s">
        <v>140</v>
      </c>
      <c r="Q11" s="171" t="s">
        <v>141</v>
      </c>
      <c r="R11" s="200"/>
      <c r="S11" s="298" t="s">
        <v>2</v>
      </c>
      <c r="T11" s="299"/>
      <c r="U11" s="157" t="s">
        <v>27</v>
      </c>
      <c r="V11" s="207">
        <f>IF(U11="Choose a Selection",0,IF(OR(U10='Feed(WS)'!B3),INDEX(I12:I19,MATCH(U11,G12:G19,0)),INDEX(I12:Q19,MATCH(U11,G12:G19,0),MATCH(U10,I11:Q11,0))))</f>
        <v>0</v>
      </c>
      <c r="W11" s="248"/>
      <c r="X11" s="240"/>
    </row>
    <row r="12" spans="1:24" ht="15" customHeight="1">
      <c r="A12" s="232"/>
      <c r="B12" s="196">
        <v>7.25</v>
      </c>
      <c r="C12" s="161">
        <v>97.875</v>
      </c>
      <c r="D12" s="161">
        <v>97.375</v>
      </c>
      <c r="E12" s="197" t="e">
        <v>#N/A</v>
      </c>
      <c r="F12" s="233"/>
      <c r="G12" s="365" t="s">
        <v>126</v>
      </c>
      <c r="H12" s="366"/>
      <c r="I12" s="182">
        <v>1</v>
      </c>
      <c r="J12" s="182">
        <v>0.25</v>
      </c>
      <c r="K12" s="182">
        <v>0.125</v>
      </c>
      <c r="L12" s="182">
        <v>-0.125</v>
      </c>
      <c r="M12" s="182">
        <v>-0.25</v>
      </c>
      <c r="N12" s="182">
        <v>-0.75</v>
      </c>
      <c r="O12" s="182">
        <v>-1.125</v>
      </c>
      <c r="P12" s="182">
        <v>-3</v>
      </c>
      <c r="Q12" s="192">
        <v>-5</v>
      </c>
      <c r="R12" s="200"/>
      <c r="S12" s="373" t="s">
        <v>147</v>
      </c>
      <c r="T12" s="374"/>
      <c r="U12" s="157" t="s">
        <v>27</v>
      </c>
      <c r="V12" s="207">
        <f>IF(U12="Choose a Selection",0,INDEX($G$23:$Q$24,MATCH($U$12,$G$23:$G$24,0),MATCH($U$10,$G$11:$Q$11,0)))</f>
        <v>0</v>
      </c>
      <c r="W12" s="248"/>
      <c r="X12" s="241"/>
    </row>
    <row r="13" spans="1:24" ht="15.75" customHeight="1">
      <c r="A13" s="232"/>
      <c r="B13" s="196">
        <v>7.375</v>
      </c>
      <c r="C13" s="161">
        <v>98.5</v>
      </c>
      <c r="D13" s="161">
        <v>98</v>
      </c>
      <c r="E13" s="197" t="e">
        <v>#N/A</v>
      </c>
      <c r="F13" s="233"/>
      <c r="G13" s="365" t="s">
        <v>127</v>
      </c>
      <c r="H13" s="366"/>
      <c r="I13" s="182">
        <v>0.875</v>
      </c>
      <c r="J13" s="182">
        <v>0.125</v>
      </c>
      <c r="K13" s="182">
        <v>-0.125</v>
      </c>
      <c r="L13" s="182">
        <v>-0.25</v>
      </c>
      <c r="M13" s="182">
        <v>-0.375</v>
      </c>
      <c r="N13" s="182">
        <v>-1</v>
      </c>
      <c r="O13" s="182">
        <v>-1.375</v>
      </c>
      <c r="P13" s="182">
        <v>-3.25</v>
      </c>
      <c r="Q13" s="192">
        <v>-5.5</v>
      </c>
      <c r="R13" s="200"/>
      <c r="S13" s="373" t="s">
        <v>3</v>
      </c>
      <c r="T13" s="374"/>
      <c r="U13" s="157" t="s">
        <v>27</v>
      </c>
      <c r="V13" s="207">
        <f>IF(OR(U13="Choose a Selection",U13='Feed(WS)'!C4,U13='Feed(WS)'!C5,U13='Feed(WS)'!C6),0,INDEX($G$26:$Q$31,MATCH($U$13,$G$26:$G$31,0),MATCH($U$10,$G$11:$Q$11,0)))</f>
        <v>0</v>
      </c>
      <c r="W13" s="249">
        <f>'Feed(WS)'!B64</f>
        <v>0</v>
      </c>
      <c r="X13" s="242"/>
    </row>
    <row r="14" spans="1:24" ht="15.75" customHeight="1">
      <c r="A14" s="232"/>
      <c r="B14" s="196">
        <v>7.4989999999999997</v>
      </c>
      <c r="C14" s="161">
        <v>99.125</v>
      </c>
      <c r="D14" s="161">
        <v>98.625</v>
      </c>
      <c r="E14" s="197" t="e">
        <v>#N/A</v>
      </c>
      <c r="F14" s="233"/>
      <c r="G14" s="365" t="s">
        <v>128</v>
      </c>
      <c r="H14" s="366"/>
      <c r="I14" s="182">
        <v>0.75</v>
      </c>
      <c r="J14" s="182">
        <v>-0.125</v>
      </c>
      <c r="K14" s="182">
        <v>-0.25</v>
      </c>
      <c r="L14" s="182">
        <v>-0.375</v>
      </c>
      <c r="M14" s="182">
        <v>-0.625</v>
      </c>
      <c r="N14" s="182">
        <v>-1.375</v>
      </c>
      <c r="O14" s="182">
        <v>-1.625</v>
      </c>
      <c r="P14" s="182">
        <v>-3.75</v>
      </c>
      <c r="Q14" s="192">
        <v>-6.25</v>
      </c>
      <c r="R14" s="200"/>
      <c r="S14" s="373" t="s">
        <v>188</v>
      </c>
      <c r="T14" s="374"/>
      <c r="U14" s="157" t="s">
        <v>27</v>
      </c>
      <c r="V14" s="207">
        <f>IF(OR(U14="Choose a Selection",U14='Feed(WS)'!D3),0,INDEX($G$26:$Q$31,MATCH($U$14,$G$26:$G$31,0),MATCH($U$10,$G$11:$Q$11,0)))</f>
        <v>0</v>
      </c>
      <c r="W14" s="249"/>
      <c r="X14" s="242"/>
    </row>
    <row r="15" spans="1:24" ht="15" customHeight="1">
      <c r="A15" s="232"/>
      <c r="B15" s="196">
        <v>7.625</v>
      </c>
      <c r="C15" s="161">
        <v>99.5625</v>
      </c>
      <c r="D15" s="161">
        <v>99.0625</v>
      </c>
      <c r="E15" s="197" t="e">
        <v>#N/A</v>
      </c>
      <c r="F15" s="233"/>
      <c r="G15" s="365" t="s">
        <v>129</v>
      </c>
      <c r="H15" s="366"/>
      <c r="I15" s="182">
        <v>0.5</v>
      </c>
      <c r="J15" s="182">
        <v>-0.25</v>
      </c>
      <c r="K15" s="182">
        <v>-0.375</v>
      </c>
      <c r="L15" s="182">
        <v>-0.625</v>
      </c>
      <c r="M15" s="182">
        <v>-1.125</v>
      </c>
      <c r="N15" s="182">
        <v>-1.625</v>
      </c>
      <c r="O15" s="182">
        <v>-2.25</v>
      </c>
      <c r="P15" s="182">
        <v>-4.75</v>
      </c>
      <c r="Q15" s="192">
        <v>-7.5</v>
      </c>
      <c r="R15" s="200"/>
      <c r="S15" s="298" t="s">
        <v>5</v>
      </c>
      <c r="T15" s="299"/>
      <c r="U15" s="157" t="s">
        <v>27</v>
      </c>
      <c r="V15" s="207" cm="1">
        <f t="array" ref="V15">IF(U15="Choose a Selection",0,IF(OR(U15='Feed(WS)'!L3:L5),0,INDEX($G$47:$Q$48,MATCH($U$15,$G$47:$G$48,0),MATCH($U$10,$G$11:$Q$11,0))))</f>
        <v>0</v>
      </c>
      <c r="W15" s="250"/>
      <c r="X15" s="243"/>
    </row>
    <row r="16" spans="1:24" ht="14.25" customHeight="1">
      <c r="A16" s="232"/>
      <c r="B16" s="196">
        <v>7.75</v>
      </c>
      <c r="C16" s="161">
        <v>100</v>
      </c>
      <c r="D16" s="161">
        <v>99.5</v>
      </c>
      <c r="E16" s="197" t="e">
        <v>#N/A</v>
      </c>
      <c r="F16" s="233"/>
      <c r="G16" s="365" t="s">
        <v>130</v>
      </c>
      <c r="H16" s="366"/>
      <c r="I16" s="182">
        <v>0.25</v>
      </c>
      <c r="J16" s="182">
        <v>-0.375</v>
      </c>
      <c r="K16" s="182">
        <v>-0.875</v>
      </c>
      <c r="L16" s="182">
        <v>-1.125</v>
      </c>
      <c r="M16" s="182">
        <v>-1.5</v>
      </c>
      <c r="N16" s="182">
        <v>-2</v>
      </c>
      <c r="O16" s="182">
        <v>-3</v>
      </c>
      <c r="P16" s="182">
        <v>-6</v>
      </c>
      <c r="Q16" s="192">
        <v>-9.25</v>
      </c>
      <c r="R16" s="200"/>
      <c r="S16" s="298" t="s">
        <v>7</v>
      </c>
      <c r="T16" s="299"/>
      <c r="U16" s="157" t="s">
        <v>27</v>
      </c>
      <c r="V16" s="207">
        <f>IF(U16="Choose a Selection",0,IF(OR(U16='Feed(WS)'!E6),0,INDEX($G$43:$Q$45,MATCH($U$16,$G$43:$G$45,0),MATCH($U$10,$G$11:$Q$11,0))))</f>
        <v>0</v>
      </c>
      <c r="W16" s="251"/>
      <c r="X16" s="244"/>
    </row>
    <row r="17" spans="1:24" ht="15" customHeight="1">
      <c r="A17" s="232"/>
      <c r="B17" s="196">
        <v>7.875</v>
      </c>
      <c r="C17" s="161">
        <v>100.4375</v>
      </c>
      <c r="D17" s="161">
        <v>99.9375</v>
      </c>
      <c r="E17" s="197" t="e">
        <v>#N/A</v>
      </c>
      <c r="F17" s="233"/>
      <c r="G17" s="365" t="s">
        <v>131</v>
      </c>
      <c r="H17" s="366"/>
      <c r="I17" s="182">
        <v>-0.375</v>
      </c>
      <c r="J17" s="182">
        <v>-1</v>
      </c>
      <c r="K17" s="182">
        <v>-1.5</v>
      </c>
      <c r="L17" s="182">
        <v>-2</v>
      </c>
      <c r="M17" s="182">
        <v>-2.375</v>
      </c>
      <c r="N17" s="182">
        <v>-3</v>
      </c>
      <c r="O17" s="182">
        <v>-4.5</v>
      </c>
      <c r="P17" s="182">
        <v>-7.25</v>
      </c>
      <c r="Q17" s="192">
        <v>-10.5</v>
      </c>
      <c r="R17" s="200"/>
      <c r="S17" s="298" t="s">
        <v>8</v>
      </c>
      <c r="T17" s="299"/>
      <c r="U17" s="158" t="s">
        <v>27</v>
      </c>
      <c r="V17" s="207">
        <f>IF(OR(U17="Choose a Selection",U17='Feed(WS)'!F2),0,INDEX($G$36:$Q$41,MATCH($U$17,$G$36:$G$41,0),MATCH($U$10,$G$11:$Q$11,0)))</f>
        <v>0</v>
      </c>
      <c r="W17" s="252"/>
      <c r="X17" s="244"/>
    </row>
    <row r="18" spans="1:24" ht="15" customHeight="1">
      <c r="A18" s="232"/>
      <c r="B18" s="196">
        <v>7.9989999999999997</v>
      </c>
      <c r="C18" s="161">
        <v>100.84375</v>
      </c>
      <c r="D18" s="161">
        <v>100.34375</v>
      </c>
      <c r="E18" s="197" t="e">
        <v>#N/A</v>
      </c>
      <c r="F18" s="233"/>
      <c r="G18" s="365" t="s">
        <v>132</v>
      </c>
      <c r="H18" s="366"/>
      <c r="I18" s="182">
        <v>-2</v>
      </c>
      <c r="J18" s="182">
        <v>-2.25</v>
      </c>
      <c r="K18" s="182">
        <v>-2.75</v>
      </c>
      <c r="L18" s="182">
        <v>-3.25</v>
      </c>
      <c r="M18" s="182">
        <v>-3.625</v>
      </c>
      <c r="N18" s="182">
        <v>-4.25</v>
      </c>
      <c r="O18" s="182">
        <v>-6.75</v>
      </c>
      <c r="P18" s="182">
        <v>-9</v>
      </c>
      <c r="Q18" s="191" t="e">
        <v>#N/A</v>
      </c>
      <c r="R18" s="200"/>
      <c r="S18" s="298" t="s">
        <v>9</v>
      </c>
      <c r="T18" s="299"/>
      <c r="U18" s="157" t="s">
        <v>27</v>
      </c>
      <c r="V18" s="207">
        <f>IF(U13="DSCR",0,IF(U18="Choose a Selection",0,IF(OR(U18='Feed(WS)'!I3),0,INDEX($G$33:$Q$34,MATCH($U$18,$G$33:$G$34,0),MATCH($U$10,$G$11:$Q$11,0)))))</f>
        <v>0</v>
      </c>
      <c r="W18" s="253"/>
      <c r="X18" s="245"/>
    </row>
    <row r="19" spans="1:24" ht="15.75" customHeight="1">
      <c r="A19" s="232"/>
      <c r="B19" s="196">
        <v>8.125</v>
      </c>
      <c r="C19" s="161">
        <v>101.25</v>
      </c>
      <c r="D19" s="161">
        <v>100.75</v>
      </c>
      <c r="E19" s="197" t="e">
        <v>#N/A</v>
      </c>
      <c r="F19" s="234"/>
      <c r="G19" s="365" t="s">
        <v>133</v>
      </c>
      <c r="H19" s="366"/>
      <c r="I19" s="182">
        <v>-3</v>
      </c>
      <c r="J19" s="182">
        <v>-3.25</v>
      </c>
      <c r="K19" s="182">
        <v>-3.75</v>
      </c>
      <c r="L19" s="182">
        <v>-4.25</v>
      </c>
      <c r="M19" s="182">
        <v>-4.625</v>
      </c>
      <c r="N19" s="182">
        <v>-5.75</v>
      </c>
      <c r="O19" s="182">
        <v>-7.75</v>
      </c>
      <c r="P19" s="190" t="e">
        <v>#N/A</v>
      </c>
      <c r="Q19" s="191" t="e">
        <v>#N/A</v>
      </c>
      <c r="R19" s="199"/>
      <c r="S19" s="298" t="s">
        <v>10</v>
      </c>
      <c r="T19" s="299"/>
      <c r="U19" s="157" t="s">
        <v>27</v>
      </c>
      <c r="V19" s="207">
        <f>IF(U19="Choose a Selection",0,IF(OR(U19='Feed(WS)'!H3),0,INDEX($G$50:$Q$52,MATCH($U$19,$G$50:$G$52,0),MATCH($U$10,$G$11:$Q$11,0))))</f>
        <v>0</v>
      </c>
      <c r="W19" s="253"/>
      <c r="X19" s="245"/>
    </row>
    <row r="20" spans="1:24" ht="15.75" customHeight="1">
      <c r="A20" s="232"/>
      <c r="B20" s="196">
        <v>8.25</v>
      </c>
      <c r="C20" s="161">
        <v>101.65625</v>
      </c>
      <c r="D20" s="161">
        <v>101.15625</v>
      </c>
      <c r="E20" s="197" t="e">
        <v>#N/A</v>
      </c>
      <c r="F20" s="233"/>
      <c r="G20" s="194"/>
      <c r="H20" s="225"/>
      <c r="I20" s="227"/>
      <c r="J20" s="227"/>
      <c r="K20" s="227"/>
      <c r="L20" s="227"/>
      <c r="M20" s="227"/>
      <c r="N20" s="227"/>
      <c r="O20" s="227"/>
      <c r="P20" s="227"/>
      <c r="Q20" s="206"/>
      <c r="R20" s="200"/>
      <c r="S20" s="298" t="s">
        <v>11</v>
      </c>
      <c r="T20" s="299"/>
      <c r="U20" s="157" t="s">
        <v>36</v>
      </c>
      <c r="V20" s="207">
        <f>INDEX($W$58:$W$60,MATCH($U$20,$V$58:$V$60,0))</f>
        <v>0</v>
      </c>
      <c r="W20" s="254"/>
      <c r="X20" s="246"/>
    </row>
    <row r="21" spans="1:24" ht="15.75" customHeight="1">
      <c r="A21" s="232"/>
      <c r="B21" s="196">
        <v>8.375</v>
      </c>
      <c r="C21" s="161">
        <v>102.03125</v>
      </c>
      <c r="D21" s="161">
        <v>101.53125</v>
      </c>
      <c r="E21" s="197" t="e">
        <v>#N/A</v>
      </c>
      <c r="F21" s="233"/>
      <c r="G21" s="379" t="s">
        <v>286</v>
      </c>
      <c r="H21" s="380"/>
      <c r="I21" s="380"/>
      <c r="J21" s="380"/>
      <c r="K21" s="380"/>
      <c r="L21" s="380"/>
      <c r="M21" s="380"/>
      <c r="N21" s="380"/>
      <c r="O21" s="380"/>
      <c r="P21" s="380"/>
      <c r="Q21" s="381"/>
      <c r="R21" s="200"/>
      <c r="S21" s="298" t="s">
        <v>353</v>
      </c>
      <c r="T21" s="299"/>
      <c r="U21" s="157" t="s">
        <v>27</v>
      </c>
      <c r="V21" s="207">
        <f>IF(U13&lt;&gt;"DSCR",0,IF($U$10="","",IF($U$21="Choose a Selection",0,INDEX($I$54:$Q$56,MATCH($U$21,$G$54:$G$56,0),MATCH($U$10,$I$11:$Q$11,0)))))</f>
        <v>0</v>
      </c>
      <c r="W21" s="254"/>
      <c r="X21" s="246"/>
    </row>
    <row r="22" spans="1:24" ht="15.75" customHeight="1" thickBot="1">
      <c r="A22" s="232"/>
      <c r="B22" s="196">
        <v>8.4990000000000006</v>
      </c>
      <c r="C22" s="161">
        <v>102.40625</v>
      </c>
      <c r="D22" s="161">
        <v>101.90625</v>
      </c>
      <c r="E22" s="161">
        <v>98.9</v>
      </c>
      <c r="F22" s="233"/>
      <c r="G22" s="362" t="s">
        <v>147</v>
      </c>
      <c r="H22" s="363"/>
      <c r="I22" s="363"/>
      <c r="J22" s="363"/>
      <c r="K22" s="363"/>
      <c r="L22" s="363"/>
      <c r="M22" s="363"/>
      <c r="N22" s="363"/>
      <c r="O22" s="363"/>
      <c r="P22" s="363"/>
      <c r="Q22" s="364"/>
      <c r="R22" s="200"/>
      <c r="S22" s="298" t="s">
        <v>12</v>
      </c>
      <c r="T22" s="299"/>
      <c r="U22" s="157" t="s">
        <v>27</v>
      </c>
      <c r="V22" s="207">
        <v>0</v>
      </c>
      <c r="W22" s="255"/>
      <c r="X22" s="243"/>
    </row>
    <row r="23" spans="1:24" ht="15.75" customHeight="1">
      <c r="A23" s="232"/>
      <c r="B23" s="196">
        <v>8.625</v>
      </c>
      <c r="C23" s="161">
        <v>102.78125</v>
      </c>
      <c r="D23" s="161">
        <v>102.28125</v>
      </c>
      <c r="E23" s="161">
        <v>99.15</v>
      </c>
      <c r="F23" s="233"/>
      <c r="G23" s="360" t="s">
        <v>148</v>
      </c>
      <c r="H23" s="361"/>
      <c r="I23" s="182">
        <v>0</v>
      </c>
      <c r="J23" s="182">
        <v>0</v>
      </c>
      <c r="K23" s="182">
        <v>0</v>
      </c>
      <c r="L23" s="182">
        <v>0</v>
      </c>
      <c r="M23" s="182">
        <v>0</v>
      </c>
      <c r="N23" s="182">
        <v>0</v>
      </c>
      <c r="O23" s="182">
        <v>0</v>
      </c>
      <c r="P23" s="182">
        <v>0</v>
      </c>
      <c r="Q23" s="192">
        <v>0</v>
      </c>
      <c r="R23" s="200"/>
      <c r="S23" s="298" t="s">
        <v>160</v>
      </c>
      <c r="T23" s="299"/>
      <c r="U23" s="159" t="s">
        <v>27</v>
      </c>
      <c r="V23" s="208">
        <v>0</v>
      </c>
      <c r="W23" s="255"/>
      <c r="X23" s="243"/>
    </row>
    <row r="24" spans="1:24" ht="15.75" customHeight="1" thickBot="1">
      <c r="A24" s="232"/>
      <c r="B24" s="196">
        <v>8.75</v>
      </c>
      <c r="C24" s="161">
        <v>103.09375</v>
      </c>
      <c r="D24" s="161">
        <v>102.59375</v>
      </c>
      <c r="E24" s="161">
        <v>99.4</v>
      </c>
      <c r="F24" s="233"/>
      <c r="G24" s="280" t="s">
        <v>149</v>
      </c>
      <c r="H24" s="281"/>
      <c r="I24" s="182">
        <v>-0.5</v>
      </c>
      <c r="J24" s="182">
        <v>-0.5</v>
      </c>
      <c r="K24" s="182">
        <v>-0.5</v>
      </c>
      <c r="L24" s="182">
        <v>-0.5</v>
      </c>
      <c r="M24" s="182">
        <v>-0.75</v>
      </c>
      <c r="N24" s="182">
        <v>-0.75</v>
      </c>
      <c r="O24" s="182">
        <v>-0.75</v>
      </c>
      <c r="P24" s="182">
        <v>-1</v>
      </c>
      <c r="Q24" s="192">
        <v>-1.25</v>
      </c>
      <c r="R24" s="200"/>
      <c r="S24" s="298" t="s">
        <v>161</v>
      </c>
      <c r="T24" s="299"/>
      <c r="U24" s="159" t="s">
        <v>27</v>
      </c>
      <c r="V24" s="208">
        <v>0</v>
      </c>
      <c r="W24" s="255"/>
      <c r="X24" s="243"/>
    </row>
    <row r="25" spans="1:24" ht="15" customHeight="1" thickBot="1">
      <c r="A25" s="232"/>
      <c r="B25" s="196">
        <v>8.875</v>
      </c>
      <c r="C25" s="161">
        <v>103.40625</v>
      </c>
      <c r="D25" s="161">
        <v>102.90625</v>
      </c>
      <c r="E25" s="161">
        <v>99.65</v>
      </c>
      <c r="F25" s="233"/>
      <c r="G25" s="321" t="s">
        <v>277</v>
      </c>
      <c r="H25" s="322"/>
      <c r="I25" s="322"/>
      <c r="J25" s="322"/>
      <c r="K25" s="322"/>
      <c r="L25" s="322"/>
      <c r="M25" s="322"/>
      <c r="N25" s="322"/>
      <c r="O25" s="322"/>
      <c r="P25" s="322"/>
      <c r="Q25" s="323"/>
      <c r="R25" s="200"/>
      <c r="S25" s="296" t="s">
        <v>14</v>
      </c>
      <c r="T25" s="297"/>
      <c r="U25" s="159" t="s">
        <v>15</v>
      </c>
      <c r="V25" s="208">
        <f>INDEX($D$57:$D$59,MATCH($U$25,$B$57:$B$59,0))</f>
        <v>0</v>
      </c>
      <c r="W25" s="255"/>
      <c r="X25" s="243"/>
    </row>
    <row r="26" spans="1:24" ht="15.75" customHeight="1" thickBot="1">
      <c r="A26" s="232"/>
      <c r="B26" s="196">
        <v>8.9990000000000006</v>
      </c>
      <c r="C26" s="161">
        <v>103.71875</v>
      </c>
      <c r="D26" s="161">
        <v>103.21875</v>
      </c>
      <c r="E26" s="161">
        <v>99.9</v>
      </c>
      <c r="F26" s="233"/>
      <c r="G26" s="280" t="s">
        <v>170</v>
      </c>
      <c r="H26" s="281"/>
      <c r="I26" s="182">
        <v>0.75</v>
      </c>
      <c r="J26" s="182">
        <v>0.5</v>
      </c>
      <c r="K26" s="182">
        <v>0.5</v>
      </c>
      <c r="L26" s="182">
        <v>0.5</v>
      </c>
      <c r="M26" s="182">
        <v>0.5</v>
      </c>
      <c r="N26" s="182">
        <v>0.5</v>
      </c>
      <c r="O26" s="182">
        <v>0.5</v>
      </c>
      <c r="P26" s="182" t="s">
        <v>362</v>
      </c>
      <c r="Q26" s="192" t="s">
        <v>362</v>
      </c>
      <c r="R26" s="200"/>
      <c r="S26" s="296" t="str">
        <f>IF(V26=0,"","CES Special")</f>
        <v/>
      </c>
      <c r="T26" s="297"/>
      <c r="U26" s="160" t="str">
        <f>IF(V26=0,"Not Applicable","Yes")</f>
        <v>Not Applicable</v>
      </c>
      <c r="V26" s="208">
        <f>'Feed(WS)'!B67</f>
        <v>0</v>
      </c>
      <c r="W26" s="255"/>
      <c r="X26" s="243"/>
    </row>
    <row r="27" spans="1:24" ht="15.75" customHeight="1" thickBot="1">
      <c r="A27" s="232"/>
      <c r="B27" s="196">
        <v>9.125</v>
      </c>
      <c r="C27" s="161">
        <v>104.03125</v>
      </c>
      <c r="D27" s="161">
        <v>103.53125</v>
      </c>
      <c r="E27" s="161">
        <v>100.15</v>
      </c>
      <c r="F27" s="233"/>
      <c r="G27" s="280" t="s">
        <v>236</v>
      </c>
      <c r="H27" s="281"/>
      <c r="I27" s="182">
        <v>-0.5</v>
      </c>
      <c r="J27" s="182">
        <v>-0.75</v>
      </c>
      <c r="K27" s="182">
        <v>-0.75</v>
      </c>
      <c r="L27" s="182">
        <v>-0.75</v>
      </c>
      <c r="M27" s="182">
        <v>-0.75</v>
      </c>
      <c r="N27" s="182">
        <v>-0.75</v>
      </c>
      <c r="O27" s="182">
        <v>-0.75</v>
      </c>
      <c r="P27" s="182">
        <v>-1</v>
      </c>
      <c r="Q27" s="192">
        <v>-1</v>
      </c>
      <c r="R27" s="200"/>
      <c r="S27" s="308" t="s">
        <v>16</v>
      </c>
      <c r="T27" s="309"/>
      <c r="U27" s="310"/>
      <c r="V27" s="209">
        <f>SUM(V11:V26)+W13</f>
        <v>0</v>
      </c>
      <c r="W27" s="250"/>
      <c r="X27" s="243"/>
    </row>
    <row r="28" spans="1:24" ht="17.25" customHeight="1">
      <c r="A28" s="232"/>
      <c r="B28" s="196">
        <v>9.25</v>
      </c>
      <c r="C28" s="161">
        <v>104.34375</v>
      </c>
      <c r="D28" s="161">
        <v>103.84375</v>
      </c>
      <c r="E28" s="161">
        <v>100.4</v>
      </c>
      <c r="F28" s="233"/>
      <c r="G28" s="280" t="s">
        <v>189</v>
      </c>
      <c r="H28" s="281"/>
      <c r="I28" s="182">
        <v>-0.5</v>
      </c>
      <c r="J28" s="182">
        <v>-0.75</v>
      </c>
      <c r="K28" s="182">
        <v>-0.75</v>
      </c>
      <c r="L28" s="182">
        <v>-0.75</v>
      </c>
      <c r="M28" s="182">
        <v>-0.75</v>
      </c>
      <c r="N28" s="182">
        <v>-0.75</v>
      </c>
      <c r="O28" s="182">
        <v>-0.75</v>
      </c>
      <c r="P28" s="182">
        <v>-1</v>
      </c>
      <c r="Q28" s="192">
        <v>-1</v>
      </c>
      <c r="R28" s="200"/>
      <c r="S28" s="311" t="s">
        <v>17</v>
      </c>
      <c r="T28" s="312"/>
      <c r="U28" s="313"/>
      <c r="V28" s="210" t="e">
        <f>INDEX(B11:E56,MATCH(U9,B11:B56,0),MATCH(IF(U13='Feed(WS)'!C3,'Feed(WS)'!C4,U13),C11:E11,0)+1)</f>
        <v>#N/A</v>
      </c>
      <c r="W28" s="255"/>
      <c r="X28" s="243"/>
    </row>
    <row r="29" spans="1:24" ht="17">
      <c r="A29" s="232"/>
      <c r="B29" s="196">
        <v>9.375</v>
      </c>
      <c r="C29" s="161">
        <v>104.625</v>
      </c>
      <c r="D29" s="161">
        <v>104.125</v>
      </c>
      <c r="E29" s="161">
        <v>100.65</v>
      </c>
      <c r="F29" s="233"/>
      <c r="G29" s="280" t="s">
        <v>190</v>
      </c>
      <c r="H29" s="281"/>
      <c r="I29" s="182">
        <v>-0.5</v>
      </c>
      <c r="J29" s="182">
        <v>-0.75</v>
      </c>
      <c r="K29" s="182">
        <v>-0.75</v>
      </c>
      <c r="L29" s="182">
        <v>-0.75</v>
      </c>
      <c r="M29" s="182">
        <v>-0.75</v>
      </c>
      <c r="N29" s="182">
        <v>-0.75</v>
      </c>
      <c r="O29" s="182">
        <v>-0.75</v>
      </c>
      <c r="P29" s="182">
        <v>-1</v>
      </c>
      <c r="Q29" s="192" t="s">
        <v>362</v>
      </c>
      <c r="R29" s="200"/>
      <c r="S29" s="300" t="s">
        <v>19</v>
      </c>
      <c r="T29" s="301"/>
      <c r="U29" s="302"/>
      <c r="V29" s="211" t="str">
        <f>IFERROR(IF(AND(U9&lt;&gt;'Feed(WS)'!K137,V30=U60),NA(),V28+V27),"Minimum Rate")</f>
        <v>Minimum Rate</v>
      </c>
      <c r="W29" s="255"/>
      <c r="X29" s="243"/>
    </row>
    <row r="30" spans="1:24" ht="15" customHeight="1" thickBot="1">
      <c r="A30" s="232"/>
      <c r="B30" s="196">
        <v>9.4990000000000006</v>
      </c>
      <c r="C30" s="161">
        <v>104.90625</v>
      </c>
      <c r="D30" s="161">
        <v>104.40625</v>
      </c>
      <c r="E30" s="161">
        <v>100.9</v>
      </c>
      <c r="F30" s="233"/>
      <c r="G30" s="280" t="s">
        <v>191</v>
      </c>
      <c r="H30" s="281"/>
      <c r="I30" s="182">
        <v>-0.5</v>
      </c>
      <c r="J30" s="182">
        <v>-0.75</v>
      </c>
      <c r="K30" s="182">
        <v>-0.75</v>
      </c>
      <c r="L30" s="182">
        <v>-0.75</v>
      </c>
      <c r="M30" s="182">
        <v>-0.75</v>
      </c>
      <c r="N30" s="182">
        <v>-0.75</v>
      </c>
      <c r="O30" s="182">
        <v>-0.75</v>
      </c>
      <c r="P30" s="182">
        <v>-1</v>
      </c>
      <c r="Q30" s="192" t="s">
        <v>362</v>
      </c>
      <c r="R30" s="200"/>
      <c r="S30" s="303" t="s">
        <v>18</v>
      </c>
      <c r="T30" s="304"/>
      <c r="U30" s="305"/>
      <c r="V30" s="212">
        <f>'Feed(WS)'!E136</f>
        <v>0</v>
      </c>
      <c r="W30" s="256"/>
      <c r="X30" s="247"/>
    </row>
    <row r="31" spans="1:24" ht="15" customHeight="1" thickBot="1">
      <c r="A31" s="232"/>
      <c r="B31" s="196">
        <v>9.625</v>
      </c>
      <c r="C31" s="161">
        <v>105.1875</v>
      </c>
      <c r="D31" s="161">
        <v>104.6875</v>
      </c>
      <c r="E31" s="161">
        <v>101.15</v>
      </c>
      <c r="F31" s="233"/>
      <c r="G31" s="280" t="s">
        <v>192</v>
      </c>
      <c r="H31" s="281"/>
      <c r="I31" s="182">
        <v>-0.5</v>
      </c>
      <c r="J31" s="182">
        <v>-1</v>
      </c>
      <c r="K31" s="182">
        <v>-1</v>
      </c>
      <c r="L31" s="182">
        <v>-1</v>
      </c>
      <c r="M31" s="182">
        <v>-1</v>
      </c>
      <c r="N31" s="182">
        <v>-2</v>
      </c>
      <c r="O31" s="182" t="s">
        <v>362</v>
      </c>
      <c r="P31" s="182" t="s">
        <v>362</v>
      </c>
      <c r="Q31" s="192" t="s">
        <v>362</v>
      </c>
      <c r="R31" s="200"/>
      <c r="S31" s="319" t="s">
        <v>20</v>
      </c>
      <c r="T31" s="320"/>
      <c r="U31" s="320"/>
      <c r="V31" s="185" t="e">
        <f>IF(OR(V27="#NA",V28="#NA",V29="Minimum Rate"),NA(),IF(AND(IF(V29&gt;V30,V30,V29)&lt;'Feed(WS)'!E147,U22='Feed(WS)'!N5),NA(),IF(V29&gt;V30,V30,V29)))</f>
        <v>#N/A</v>
      </c>
      <c r="W31" s="257"/>
      <c r="X31" s="175"/>
    </row>
    <row r="32" spans="1:24" ht="15.75" customHeight="1" thickBot="1">
      <c r="A32" s="232"/>
      <c r="B32" s="196">
        <v>9.75</v>
      </c>
      <c r="C32" s="161">
        <v>105.375</v>
      </c>
      <c r="D32" s="161">
        <v>104.875</v>
      </c>
      <c r="E32" s="161">
        <v>101.4</v>
      </c>
      <c r="F32" s="233"/>
      <c r="G32" s="321" t="s">
        <v>9</v>
      </c>
      <c r="H32" s="322"/>
      <c r="I32" s="322"/>
      <c r="J32" s="322"/>
      <c r="K32" s="322"/>
      <c r="L32" s="322"/>
      <c r="M32" s="322"/>
      <c r="N32" s="322"/>
      <c r="O32" s="322"/>
      <c r="P32" s="322"/>
      <c r="Q32" s="323"/>
      <c r="R32" s="200"/>
      <c r="S32" s="282" t="s">
        <v>237</v>
      </c>
      <c r="T32" s="283"/>
      <c r="U32" s="283"/>
      <c r="V32" s="284"/>
      <c r="W32" s="258"/>
      <c r="X32" s="176"/>
    </row>
    <row r="33" spans="1:24" ht="15" customHeight="1">
      <c r="A33" s="232"/>
      <c r="B33" s="196">
        <v>9.875</v>
      </c>
      <c r="C33" s="161">
        <v>105.5625</v>
      </c>
      <c r="D33" s="161">
        <v>105.0625</v>
      </c>
      <c r="E33" s="161">
        <v>101.65</v>
      </c>
      <c r="F33" s="233"/>
      <c r="G33" s="280" t="s">
        <v>296</v>
      </c>
      <c r="H33" s="281"/>
      <c r="I33" s="182">
        <v>-2.5</v>
      </c>
      <c r="J33" s="182">
        <v>-2.5</v>
      </c>
      <c r="K33" s="182">
        <v>-2.5</v>
      </c>
      <c r="L33" s="182">
        <v>-2.5</v>
      </c>
      <c r="M33" s="182">
        <v>-2.5</v>
      </c>
      <c r="N33" s="182">
        <v>-2.5</v>
      </c>
      <c r="O33" s="182">
        <v>-2.5</v>
      </c>
      <c r="P33" s="182">
        <v>-2.5</v>
      </c>
      <c r="Q33" s="192" t="s">
        <v>362</v>
      </c>
      <c r="R33" s="200"/>
      <c r="S33" s="285" t="s">
        <v>238</v>
      </c>
      <c r="T33" s="286"/>
      <c r="U33" s="314">
        <v>175000</v>
      </c>
      <c r="V33" s="314"/>
      <c r="W33" s="273" t="str" cm="1">
        <f t="array" ref="W33">IF(OR(U10:U25="Choose a Selection"),"",CONCATENATE('Feed(WS)'!I137," ",'Feed(WS)'!K137,"%"&amp;" @ "&amp;'Feed(WS)'!L137))</f>
        <v/>
      </c>
      <c r="X33" s="177"/>
    </row>
    <row r="34" spans="1:24" ht="15" customHeight="1" thickBot="1">
      <c r="A34" s="232"/>
      <c r="B34" s="196">
        <v>9.9990000000000006</v>
      </c>
      <c r="C34" s="161">
        <v>105.75</v>
      </c>
      <c r="D34" s="161">
        <v>105.25</v>
      </c>
      <c r="E34" s="161">
        <v>101.9</v>
      </c>
      <c r="F34" s="233"/>
      <c r="G34" s="280" t="s">
        <v>32</v>
      </c>
      <c r="H34" s="281"/>
      <c r="I34" s="182">
        <v>-1</v>
      </c>
      <c r="J34" s="182">
        <v>-1</v>
      </c>
      <c r="K34" s="182">
        <v>-1</v>
      </c>
      <c r="L34" s="182">
        <v>-1</v>
      </c>
      <c r="M34" s="182">
        <v>-1</v>
      </c>
      <c r="N34" s="182">
        <v>-1.25</v>
      </c>
      <c r="O34" s="182">
        <v>-1.5</v>
      </c>
      <c r="P34" s="182">
        <v>-1.5</v>
      </c>
      <c r="Q34" s="192" t="s">
        <v>362</v>
      </c>
      <c r="R34" s="200"/>
      <c r="S34" s="315" t="s">
        <v>239</v>
      </c>
      <c r="T34" s="316"/>
      <c r="U34" s="186">
        <v>2.25</v>
      </c>
      <c r="V34" s="187">
        <f>U34/100*U33</f>
        <v>3937.5</v>
      </c>
      <c r="W34" s="258"/>
      <c r="X34" s="176"/>
    </row>
    <row r="35" spans="1:24" ht="15" customHeight="1" thickBot="1">
      <c r="A35" s="232"/>
      <c r="B35" s="196">
        <v>10.125</v>
      </c>
      <c r="C35" s="161">
        <v>105.9375</v>
      </c>
      <c r="D35" s="161">
        <v>105.4375</v>
      </c>
      <c r="E35" s="161">
        <v>102.15</v>
      </c>
      <c r="F35" s="233"/>
      <c r="G35" s="321" t="s">
        <v>23</v>
      </c>
      <c r="H35" s="322"/>
      <c r="I35" s="322"/>
      <c r="J35" s="322"/>
      <c r="K35" s="322"/>
      <c r="L35" s="322"/>
      <c r="M35" s="322"/>
      <c r="N35" s="322"/>
      <c r="O35" s="322"/>
      <c r="P35" s="322"/>
      <c r="Q35" s="323"/>
      <c r="R35" s="200"/>
      <c r="S35" s="317" t="s">
        <v>240</v>
      </c>
      <c r="T35" s="318"/>
      <c r="U35" s="188">
        <v>100</v>
      </c>
      <c r="V35" s="189">
        <f>U35/U33*100</f>
        <v>5.7142857142857148E-2</v>
      </c>
      <c r="W35" s="259"/>
      <c r="X35" s="177"/>
    </row>
    <row r="36" spans="1:24" ht="15" customHeight="1">
      <c r="A36" s="232"/>
      <c r="B36" s="196">
        <v>10.25</v>
      </c>
      <c r="C36" s="161">
        <v>106.125</v>
      </c>
      <c r="D36" s="161">
        <v>105.625</v>
      </c>
      <c r="E36" s="161">
        <v>102.4</v>
      </c>
      <c r="F36" s="233"/>
      <c r="G36" s="280" t="s">
        <v>185</v>
      </c>
      <c r="H36" s="281"/>
      <c r="I36" s="182">
        <v>-0.25</v>
      </c>
      <c r="J36" s="182">
        <v>-0.25</v>
      </c>
      <c r="K36" s="182">
        <v>-0.25</v>
      </c>
      <c r="L36" s="182">
        <v>-0.25</v>
      </c>
      <c r="M36" s="182">
        <v>-0.25</v>
      </c>
      <c r="N36" s="182">
        <v>-0.25</v>
      </c>
      <c r="O36" s="182">
        <v>-0.25</v>
      </c>
      <c r="P36" s="182">
        <v>-0.5</v>
      </c>
      <c r="Q36" s="192">
        <v>-1</v>
      </c>
      <c r="R36" s="200"/>
      <c r="S36" s="317" t="s">
        <v>241</v>
      </c>
      <c r="T36" s="318"/>
      <c r="U36" s="359">
        <f>U34+V35</f>
        <v>2.3071428571428569</v>
      </c>
      <c r="V36" s="359"/>
      <c r="W36" s="259"/>
      <c r="X36" s="177"/>
    </row>
    <row r="37" spans="1:24" ht="15.75" customHeight="1" thickBot="1">
      <c r="A37" s="232"/>
      <c r="B37" s="196">
        <v>10.375</v>
      </c>
      <c r="C37" s="161">
        <v>106.3125</v>
      </c>
      <c r="D37" s="161">
        <v>105.8125</v>
      </c>
      <c r="E37" s="161">
        <v>102.65</v>
      </c>
      <c r="F37" s="233"/>
      <c r="G37" s="280" t="s">
        <v>144</v>
      </c>
      <c r="H37" s="281"/>
      <c r="I37" s="182">
        <v>0.25</v>
      </c>
      <c r="J37" s="182">
        <v>0.25</v>
      </c>
      <c r="K37" s="182">
        <v>0.25</v>
      </c>
      <c r="L37" s="182">
        <v>0.25</v>
      </c>
      <c r="M37" s="182">
        <v>0.25</v>
      </c>
      <c r="N37" s="182">
        <v>0.25</v>
      </c>
      <c r="O37" s="182">
        <v>0.25</v>
      </c>
      <c r="P37" s="182">
        <v>0</v>
      </c>
      <c r="Q37" s="192">
        <v>0</v>
      </c>
      <c r="R37" s="200"/>
      <c r="S37" s="306" t="s">
        <v>242</v>
      </c>
      <c r="T37" s="307"/>
      <c r="U37" s="294" t="e">
        <f>V31-U36</f>
        <v>#N/A</v>
      </c>
      <c r="V37" s="295"/>
      <c r="W37" s="260"/>
      <c r="X37" s="178"/>
    </row>
    <row r="38" spans="1:24" ht="15.75" customHeight="1">
      <c r="A38" s="232"/>
      <c r="B38" s="196">
        <v>10.499000000000001</v>
      </c>
      <c r="C38" s="161">
        <v>106.5</v>
      </c>
      <c r="D38" s="161">
        <v>106</v>
      </c>
      <c r="E38" s="161">
        <v>103.15</v>
      </c>
      <c r="F38" s="233"/>
      <c r="G38" s="280" t="s">
        <v>145</v>
      </c>
      <c r="H38" s="281"/>
      <c r="I38" s="182">
        <v>0.375</v>
      </c>
      <c r="J38" s="182">
        <v>0.375</v>
      </c>
      <c r="K38" s="182">
        <v>0.375</v>
      </c>
      <c r="L38" s="182">
        <v>0.375</v>
      </c>
      <c r="M38" s="182">
        <v>0.375</v>
      </c>
      <c r="N38" s="182">
        <v>0.375</v>
      </c>
      <c r="O38" s="182">
        <v>0.375</v>
      </c>
      <c r="P38" s="182">
        <v>0.375</v>
      </c>
      <c r="Q38" s="192">
        <v>0.375</v>
      </c>
      <c r="R38" s="200"/>
      <c r="S38" s="326" t="s">
        <v>298</v>
      </c>
      <c r="T38" s="327"/>
      <c r="U38" s="327"/>
      <c r="V38" s="327"/>
      <c r="W38" s="328"/>
      <c r="X38" s="179"/>
    </row>
    <row r="39" spans="1:24" ht="14.25" customHeight="1">
      <c r="A39" s="232"/>
      <c r="B39" s="196">
        <v>10.625</v>
      </c>
      <c r="C39" s="161">
        <v>106.6875</v>
      </c>
      <c r="D39" s="161">
        <v>106.1875</v>
      </c>
      <c r="E39" s="161">
        <v>103.65</v>
      </c>
      <c r="F39" s="234"/>
      <c r="G39" s="280" t="s">
        <v>153</v>
      </c>
      <c r="H39" s="281"/>
      <c r="I39" s="182">
        <v>0.5</v>
      </c>
      <c r="J39" s="182">
        <v>0.5</v>
      </c>
      <c r="K39" s="182">
        <v>0.5</v>
      </c>
      <c r="L39" s="182">
        <v>0.5</v>
      </c>
      <c r="M39" s="182">
        <v>0.5</v>
      </c>
      <c r="N39" s="182">
        <v>0.5</v>
      </c>
      <c r="O39" s="182">
        <v>0.5</v>
      </c>
      <c r="P39" s="182">
        <v>0.5</v>
      </c>
      <c r="Q39" s="192">
        <v>0.5</v>
      </c>
      <c r="R39" s="200"/>
      <c r="S39" s="329"/>
      <c r="T39" s="330"/>
      <c r="U39" s="330"/>
      <c r="V39" s="330"/>
      <c r="W39" s="331"/>
      <c r="X39" s="180"/>
    </row>
    <row r="40" spans="1:24" ht="14.25" customHeight="1" thickBot="1">
      <c r="A40" s="232"/>
      <c r="B40" s="198">
        <v>10.75</v>
      </c>
      <c r="C40" s="161">
        <v>106.875</v>
      </c>
      <c r="D40" s="161">
        <v>106.375</v>
      </c>
      <c r="E40" s="161">
        <v>104.15</v>
      </c>
      <c r="F40" s="234"/>
      <c r="G40" s="280" t="s">
        <v>154</v>
      </c>
      <c r="H40" s="281"/>
      <c r="I40" s="182">
        <v>0.5</v>
      </c>
      <c r="J40" s="182">
        <v>0.5</v>
      </c>
      <c r="K40" s="182">
        <v>0.5</v>
      </c>
      <c r="L40" s="182">
        <v>0.5</v>
      </c>
      <c r="M40" s="182">
        <v>0.5</v>
      </c>
      <c r="N40" s="182">
        <v>0.5</v>
      </c>
      <c r="O40" s="182">
        <v>0.5</v>
      </c>
      <c r="P40" s="182">
        <v>0.5</v>
      </c>
      <c r="Q40" s="192">
        <v>0.5</v>
      </c>
      <c r="R40" s="199"/>
      <c r="S40" s="329"/>
      <c r="T40" s="330"/>
      <c r="U40" s="330"/>
      <c r="V40" s="330"/>
      <c r="W40" s="331"/>
      <c r="X40" s="180"/>
    </row>
    <row r="41" spans="1:24" ht="15.75" customHeight="1" thickBot="1">
      <c r="A41" s="232"/>
      <c r="B41" s="198">
        <v>10.875</v>
      </c>
      <c r="C41" s="161">
        <v>107.0625</v>
      </c>
      <c r="D41" s="161">
        <v>106.5625</v>
      </c>
      <c r="E41" s="161">
        <v>104.65</v>
      </c>
      <c r="F41" s="233"/>
      <c r="G41" s="280" t="s">
        <v>187</v>
      </c>
      <c r="H41" s="281"/>
      <c r="I41" s="182">
        <v>0</v>
      </c>
      <c r="J41" s="182">
        <v>0</v>
      </c>
      <c r="K41" s="182">
        <v>0</v>
      </c>
      <c r="L41" s="182">
        <v>0</v>
      </c>
      <c r="M41" s="182">
        <v>0</v>
      </c>
      <c r="N41" s="182">
        <v>0</v>
      </c>
      <c r="O41" s="182">
        <v>0</v>
      </c>
      <c r="P41" s="182">
        <v>0</v>
      </c>
      <c r="Q41" s="192">
        <v>0</v>
      </c>
      <c r="R41" s="199"/>
      <c r="S41" s="332"/>
      <c r="T41" s="333"/>
      <c r="U41" s="333"/>
      <c r="V41" s="333"/>
      <c r="W41" s="334"/>
      <c r="X41" s="180"/>
    </row>
    <row r="42" spans="1:24" ht="14.25" customHeight="1" thickBot="1">
      <c r="A42" s="232"/>
      <c r="B42" s="198">
        <v>10.999000000000001</v>
      </c>
      <c r="C42" s="161">
        <v>107.25</v>
      </c>
      <c r="D42" s="161">
        <v>106.75</v>
      </c>
      <c r="E42" s="161">
        <v>104.9</v>
      </c>
      <c r="F42" s="233"/>
      <c r="G42" s="321" t="s">
        <v>278</v>
      </c>
      <c r="H42" s="322"/>
      <c r="I42" s="322"/>
      <c r="J42" s="322"/>
      <c r="K42" s="322"/>
      <c r="L42" s="322"/>
      <c r="M42" s="322"/>
      <c r="N42" s="322"/>
      <c r="O42" s="322"/>
      <c r="P42" s="322"/>
      <c r="Q42" s="323"/>
      <c r="R42" s="200"/>
      <c r="S42" s="326" t="s">
        <v>122</v>
      </c>
      <c r="T42" s="327"/>
      <c r="U42" s="327"/>
      <c r="V42" s="327"/>
      <c r="W42" s="328"/>
      <c r="X42" s="180"/>
    </row>
    <row r="43" spans="1:24" ht="15.75" customHeight="1" thickBot="1">
      <c r="A43" s="232"/>
      <c r="B43" s="198">
        <v>11.125</v>
      </c>
      <c r="C43" s="161">
        <v>107.4375</v>
      </c>
      <c r="D43" s="161">
        <v>106.9375</v>
      </c>
      <c r="E43" s="161">
        <v>105.15</v>
      </c>
      <c r="F43" s="233"/>
      <c r="G43" s="280" t="s">
        <v>142</v>
      </c>
      <c r="H43" s="281"/>
      <c r="I43" s="182">
        <v>0</v>
      </c>
      <c r="J43" s="182">
        <v>0</v>
      </c>
      <c r="K43" s="182">
        <v>0</v>
      </c>
      <c r="L43" s="182">
        <v>0</v>
      </c>
      <c r="M43" s="182">
        <v>0</v>
      </c>
      <c r="N43" s="182">
        <v>0</v>
      </c>
      <c r="O43" s="182">
        <v>0</v>
      </c>
      <c r="P43" s="182">
        <v>0</v>
      </c>
      <c r="Q43" s="192">
        <v>0</v>
      </c>
      <c r="R43" s="200"/>
      <c r="S43" s="329"/>
      <c r="T43" s="330"/>
      <c r="U43" s="330"/>
      <c r="V43" s="330"/>
      <c r="W43" s="331"/>
      <c r="X43" s="180"/>
    </row>
    <row r="44" spans="1:24" ht="14.25" customHeight="1" thickBot="1">
      <c r="A44" s="232"/>
      <c r="B44" s="198">
        <v>11.25</v>
      </c>
      <c r="C44" s="161">
        <v>107.625</v>
      </c>
      <c r="D44" s="161">
        <v>107.125</v>
      </c>
      <c r="E44" s="161">
        <v>105.4</v>
      </c>
      <c r="F44" s="233"/>
      <c r="G44" s="280" t="s">
        <v>143</v>
      </c>
      <c r="H44" s="281"/>
      <c r="I44" s="182">
        <v>-0.25</v>
      </c>
      <c r="J44" s="182">
        <v>-0.25</v>
      </c>
      <c r="K44" s="182">
        <v>-0.25</v>
      </c>
      <c r="L44" s="182">
        <v>-0.25</v>
      </c>
      <c r="M44" s="182">
        <v>-0.25</v>
      </c>
      <c r="N44" s="182">
        <v>-0.5</v>
      </c>
      <c r="O44" s="182">
        <v>-0.5</v>
      </c>
      <c r="P44" s="182">
        <v>-0.75</v>
      </c>
      <c r="Q44" s="192">
        <v>-0.75</v>
      </c>
      <c r="R44" s="200"/>
      <c r="S44" s="329"/>
      <c r="T44" s="330"/>
      <c r="U44" s="330"/>
      <c r="V44" s="330"/>
      <c r="W44" s="331"/>
      <c r="X44" s="180"/>
    </row>
    <row r="45" spans="1:24" ht="14.25" customHeight="1" thickBot="1">
      <c r="A45" s="232"/>
      <c r="B45" s="198">
        <v>11.375</v>
      </c>
      <c r="C45" s="161">
        <v>107.8125</v>
      </c>
      <c r="D45" s="161">
        <v>107.3125</v>
      </c>
      <c r="E45" s="161">
        <v>105.65</v>
      </c>
      <c r="F45" s="233"/>
      <c r="G45" s="280" t="s">
        <v>184</v>
      </c>
      <c r="H45" s="281"/>
      <c r="I45" s="182">
        <v>-0.5</v>
      </c>
      <c r="J45" s="182">
        <v>-0.5</v>
      </c>
      <c r="K45" s="182">
        <v>-0.5</v>
      </c>
      <c r="L45" s="182">
        <v>-0.5</v>
      </c>
      <c r="M45" s="182">
        <v>-0.5</v>
      </c>
      <c r="N45" s="182">
        <v>-1</v>
      </c>
      <c r="O45" s="182">
        <v>-1</v>
      </c>
      <c r="P45" s="182" t="s">
        <v>362</v>
      </c>
      <c r="Q45" s="192" t="s">
        <v>362</v>
      </c>
      <c r="R45" s="200"/>
      <c r="S45" s="219"/>
      <c r="T45" s="199"/>
      <c r="U45" s="199"/>
      <c r="V45" s="199"/>
      <c r="W45" s="234"/>
      <c r="X45" s="180"/>
    </row>
    <row r="46" spans="1:24" ht="14.25" customHeight="1" thickBot="1">
      <c r="A46" s="232"/>
      <c r="B46" s="198">
        <v>11.499000000000001</v>
      </c>
      <c r="C46" s="161">
        <v>108</v>
      </c>
      <c r="D46" s="161">
        <v>107.5</v>
      </c>
      <c r="E46" s="161">
        <v>105.9</v>
      </c>
      <c r="F46" s="233"/>
      <c r="G46" s="321" t="s">
        <v>279</v>
      </c>
      <c r="H46" s="322"/>
      <c r="I46" s="322"/>
      <c r="J46" s="322"/>
      <c r="K46" s="322"/>
      <c r="L46" s="322"/>
      <c r="M46" s="322"/>
      <c r="N46" s="322"/>
      <c r="O46" s="322"/>
      <c r="P46" s="322"/>
      <c r="Q46" s="323"/>
      <c r="R46" s="200"/>
      <c r="S46" s="219"/>
      <c r="T46" s="199"/>
      <c r="U46" s="199"/>
      <c r="V46" s="199"/>
      <c r="W46" s="234"/>
      <c r="X46" s="180"/>
    </row>
    <row r="47" spans="1:24" ht="15.75" customHeight="1" thickBot="1">
      <c r="A47" s="232"/>
      <c r="B47" s="198">
        <v>11.625</v>
      </c>
      <c r="C47" s="161">
        <v>108.1875</v>
      </c>
      <c r="D47" s="161">
        <v>107.6875</v>
      </c>
      <c r="E47" s="161">
        <v>106.15</v>
      </c>
      <c r="F47" s="233"/>
      <c r="G47" s="280" t="s">
        <v>193</v>
      </c>
      <c r="H47" s="281"/>
      <c r="I47" s="182">
        <v>-3</v>
      </c>
      <c r="J47" s="182">
        <v>-3</v>
      </c>
      <c r="K47" s="182">
        <v>-3</v>
      </c>
      <c r="L47" s="182">
        <v>-3</v>
      </c>
      <c r="M47" s="182">
        <v>-3.5</v>
      </c>
      <c r="N47" s="182">
        <v>-3.5</v>
      </c>
      <c r="O47" s="182" t="s">
        <v>362</v>
      </c>
      <c r="P47" s="182" t="s">
        <v>362</v>
      </c>
      <c r="Q47" s="192" t="s">
        <v>362</v>
      </c>
      <c r="R47" s="200"/>
      <c r="S47" s="219"/>
      <c r="T47" s="199"/>
      <c r="U47" s="199"/>
      <c r="V47" s="199"/>
      <c r="W47" s="234"/>
      <c r="X47" s="180"/>
    </row>
    <row r="48" spans="1:24" ht="15.75" customHeight="1" thickBot="1">
      <c r="A48" s="232"/>
      <c r="B48" s="198">
        <v>11.75</v>
      </c>
      <c r="C48" s="161">
        <v>108.375</v>
      </c>
      <c r="D48" s="161">
        <v>107.875</v>
      </c>
      <c r="E48" s="161">
        <v>106.4</v>
      </c>
      <c r="F48" s="233"/>
      <c r="G48" s="280" t="s">
        <v>289</v>
      </c>
      <c r="H48" s="281"/>
      <c r="I48" s="182">
        <v>-1.5</v>
      </c>
      <c r="J48" s="182">
        <v>-1.5</v>
      </c>
      <c r="K48" s="182">
        <v>-1.5</v>
      </c>
      <c r="L48" s="182">
        <v>-1.5</v>
      </c>
      <c r="M48" s="182">
        <v>-1.5</v>
      </c>
      <c r="N48" s="182">
        <v>-1.5</v>
      </c>
      <c r="O48" s="182" t="s">
        <v>362</v>
      </c>
      <c r="P48" s="182" t="s">
        <v>362</v>
      </c>
      <c r="Q48" s="192" t="s">
        <v>362</v>
      </c>
      <c r="R48" s="200"/>
      <c r="S48" s="219"/>
      <c r="T48" s="199"/>
      <c r="U48" s="199"/>
      <c r="V48" s="199"/>
      <c r="W48" s="234"/>
      <c r="X48" s="180"/>
    </row>
    <row r="49" spans="1:39" ht="15" customHeight="1" thickBot="1">
      <c r="A49" s="232"/>
      <c r="B49" s="198">
        <v>11.875</v>
      </c>
      <c r="C49" s="161">
        <v>108.5625</v>
      </c>
      <c r="D49" s="161">
        <v>108.0625</v>
      </c>
      <c r="E49" s="161">
        <v>106.65</v>
      </c>
      <c r="F49" s="233"/>
      <c r="G49" s="321" t="s">
        <v>280</v>
      </c>
      <c r="H49" s="322"/>
      <c r="I49" s="322"/>
      <c r="J49" s="322"/>
      <c r="K49" s="322"/>
      <c r="L49" s="322"/>
      <c r="M49" s="322"/>
      <c r="N49" s="322"/>
      <c r="O49" s="322"/>
      <c r="P49" s="322"/>
      <c r="Q49" s="323"/>
      <c r="R49" s="200"/>
      <c r="S49" s="219"/>
      <c r="T49" s="199"/>
      <c r="U49" s="199"/>
      <c r="V49" s="199"/>
      <c r="W49" s="234"/>
      <c r="X49" s="181"/>
    </row>
    <row r="50" spans="1:39" ht="13.5" customHeight="1" thickBot="1">
      <c r="A50" s="232"/>
      <c r="B50" s="198">
        <v>11.999000000000001</v>
      </c>
      <c r="C50" s="161">
        <v>108.75</v>
      </c>
      <c r="D50" s="161">
        <v>108.25</v>
      </c>
      <c r="E50" s="161">
        <v>106.9</v>
      </c>
      <c r="F50" s="233"/>
      <c r="G50" s="280" t="s">
        <v>293</v>
      </c>
      <c r="H50" s="281"/>
      <c r="I50" s="182">
        <v>-0.125</v>
      </c>
      <c r="J50" s="182">
        <v>-0.125</v>
      </c>
      <c r="K50" s="182">
        <v>-0.125</v>
      </c>
      <c r="L50" s="182">
        <v>-0.25</v>
      </c>
      <c r="M50" s="182">
        <v>-0.25</v>
      </c>
      <c r="N50" s="182">
        <v>-0.25</v>
      </c>
      <c r="O50" s="182" t="s">
        <v>362</v>
      </c>
      <c r="P50" s="182" t="s">
        <v>362</v>
      </c>
      <c r="Q50" s="192" t="s">
        <v>362</v>
      </c>
      <c r="R50" s="200"/>
      <c r="S50" s="219"/>
      <c r="T50" s="199"/>
      <c r="U50" s="199"/>
      <c r="V50" s="199"/>
      <c r="W50" s="234"/>
      <c r="X50" s="163"/>
    </row>
    <row r="51" spans="1:39" ht="15.75" customHeight="1" thickBot="1">
      <c r="A51" s="232"/>
      <c r="B51" s="198">
        <v>12.125</v>
      </c>
      <c r="C51" s="161">
        <v>108.9375</v>
      </c>
      <c r="D51" s="161">
        <v>108.4375</v>
      </c>
      <c r="E51" s="161">
        <v>107.15</v>
      </c>
      <c r="F51" s="234"/>
      <c r="G51" s="280" t="s">
        <v>294</v>
      </c>
      <c r="H51" s="281"/>
      <c r="I51" s="182">
        <v>-0.5</v>
      </c>
      <c r="J51" s="182">
        <v>-0.5</v>
      </c>
      <c r="K51" s="182">
        <v>-0.5</v>
      </c>
      <c r="L51" s="182">
        <v>-1</v>
      </c>
      <c r="M51" s="182">
        <v>-1</v>
      </c>
      <c r="N51" s="182">
        <v>-1</v>
      </c>
      <c r="O51" s="182" t="s">
        <v>362</v>
      </c>
      <c r="P51" s="182" t="s">
        <v>362</v>
      </c>
      <c r="Q51" s="192" t="s">
        <v>362</v>
      </c>
      <c r="R51" s="200"/>
      <c r="S51" s="219"/>
      <c r="T51" s="199"/>
      <c r="U51" s="199"/>
      <c r="V51" s="199"/>
      <c r="W51" s="234"/>
      <c r="X51" s="163"/>
    </row>
    <row r="52" spans="1:39" ht="15" customHeight="1" thickBot="1">
      <c r="A52" s="232"/>
      <c r="B52" s="204"/>
      <c r="C52" s="205"/>
      <c r="D52" s="205"/>
      <c r="E52" s="205"/>
      <c r="F52" s="234"/>
      <c r="G52" s="339" t="s">
        <v>295</v>
      </c>
      <c r="H52" s="340"/>
      <c r="I52" s="195">
        <v>0</v>
      </c>
      <c r="J52" s="195">
        <v>-0.125</v>
      </c>
      <c r="K52" s="195">
        <v>-0.125</v>
      </c>
      <c r="L52" s="195">
        <v>-0.25</v>
      </c>
      <c r="M52" s="195">
        <v>-0.25</v>
      </c>
      <c r="N52" s="195">
        <v>-0.5</v>
      </c>
      <c r="O52" s="195">
        <v>-0.5</v>
      </c>
      <c r="P52" s="195" t="s">
        <v>362</v>
      </c>
      <c r="Q52" s="218" t="s">
        <v>362</v>
      </c>
      <c r="R52" s="199"/>
      <c r="S52" s="219"/>
      <c r="T52" s="199"/>
      <c r="U52" s="199"/>
      <c r="V52" s="199"/>
      <c r="W52" s="234"/>
      <c r="X52" s="163"/>
    </row>
    <row r="53" spans="1:39" s="48" customFormat="1" ht="15.75" customHeight="1" thickBot="1">
      <c r="A53" s="232"/>
      <c r="B53" s="204"/>
      <c r="C53" s="205"/>
      <c r="D53" s="205"/>
      <c r="E53" s="205"/>
      <c r="F53" s="234"/>
      <c r="G53" s="321" t="s">
        <v>353</v>
      </c>
      <c r="H53" s="322"/>
      <c r="I53" s="322"/>
      <c r="J53" s="322"/>
      <c r="K53" s="322"/>
      <c r="L53" s="322"/>
      <c r="M53" s="322"/>
      <c r="N53" s="322"/>
      <c r="O53" s="322"/>
      <c r="P53" s="322"/>
      <c r="Q53" s="323"/>
      <c r="R53" s="199"/>
      <c r="S53" s="219"/>
      <c r="T53" s="199"/>
      <c r="U53" s="199"/>
      <c r="V53" s="199"/>
      <c r="W53" s="234"/>
      <c r="X53" s="163"/>
      <c r="Y53"/>
      <c r="Z53"/>
      <c r="AA53"/>
      <c r="AB53"/>
      <c r="AC53"/>
      <c r="AD53"/>
      <c r="AE53"/>
      <c r="AF53"/>
      <c r="AG53"/>
      <c r="AH53"/>
    </row>
    <row r="54" spans="1:39" s="48" customFormat="1" ht="15.75" customHeight="1" thickBot="1">
      <c r="A54" s="232"/>
      <c r="B54" s="204"/>
      <c r="C54" s="205"/>
      <c r="D54" s="205"/>
      <c r="E54" s="205"/>
      <c r="F54" s="234"/>
      <c r="G54" s="324" t="s">
        <v>354</v>
      </c>
      <c r="H54" s="325"/>
      <c r="I54" s="274">
        <v>0.25</v>
      </c>
      <c r="J54" s="274">
        <v>0.25</v>
      </c>
      <c r="K54" s="274">
        <v>0.25</v>
      </c>
      <c r="L54" s="274">
        <v>0.25</v>
      </c>
      <c r="M54" s="274">
        <v>0.25</v>
      </c>
      <c r="N54" s="274">
        <v>0.25</v>
      </c>
      <c r="O54" s="274">
        <v>0.25</v>
      </c>
      <c r="P54" s="274">
        <v>0.25</v>
      </c>
      <c r="Q54" s="275">
        <v>0.25</v>
      </c>
      <c r="R54" s="199"/>
      <c r="S54" s="219"/>
      <c r="T54" s="199"/>
      <c r="U54" s="199"/>
      <c r="V54" s="199"/>
      <c r="W54" s="234"/>
      <c r="X54" s="163"/>
      <c r="Y54"/>
      <c r="Z54"/>
      <c r="AA54"/>
      <c r="AB54"/>
      <c r="AC54"/>
      <c r="AD54"/>
      <c r="AE54"/>
      <c r="AF54"/>
      <c r="AG54"/>
      <c r="AH54"/>
    </row>
    <row r="55" spans="1:39" s="48" customFormat="1" ht="15.75" customHeight="1" thickBot="1">
      <c r="A55" s="232"/>
      <c r="B55" s="204"/>
      <c r="C55" s="205"/>
      <c r="D55" s="205"/>
      <c r="E55" s="205"/>
      <c r="F55" s="234"/>
      <c r="G55" s="324" t="s">
        <v>355</v>
      </c>
      <c r="H55" s="325"/>
      <c r="I55" s="274">
        <v>0.5</v>
      </c>
      <c r="J55" s="274">
        <v>0.5</v>
      </c>
      <c r="K55" s="274">
        <v>0.5</v>
      </c>
      <c r="L55" s="274">
        <v>0.5</v>
      </c>
      <c r="M55" s="274">
        <v>0.5</v>
      </c>
      <c r="N55" s="274">
        <v>0.5</v>
      </c>
      <c r="O55" s="274">
        <v>0.5</v>
      </c>
      <c r="P55" s="274">
        <v>0.5</v>
      </c>
      <c r="Q55" s="275">
        <v>0.5</v>
      </c>
      <c r="R55" s="199"/>
      <c r="S55" s="219"/>
      <c r="T55" s="199"/>
      <c r="U55" s="199"/>
      <c r="V55" s="199"/>
      <c r="W55" s="234"/>
      <c r="X55" s="163"/>
      <c r="Y55"/>
      <c r="Z55"/>
      <c r="AA55"/>
      <c r="AB55"/>
      <c r="AC55"/>
      <c r="AD55"/>
      <c r="AE55"/>
      <c r="AF55"/>
      <c r="AG55"/>
      <c r="AH55"/>
    </row>
    <row r="56" spans="1:39" s="48" customFormat="1" ht="20.25" customHeight="1">
      <c r="A56" s="232"/>
      <c r="B56" s="338" t="s">
        <v>287</v>
      </c>
      <c r="C56" s="338"/>
      <c r="D56" s="338" t="s">
        <v>288</v>
      </c>
      <c r="E56" s="338"/>
      <c r="F56" s="234"/>
      <c r="G56" s="324" t="s">
        <v>356</v>
      </c>
      <c r="H56" s="325"/>
      <c r="I56" s="274">
        <v>0.75</v>
      </c>
      <c r="J56" s="274">
        <v>0.75</v>
      </c>
      <c r="K56" s="274">
        <v>0.75</v>
      </c>
      <c r="L56" s="274">
        <v>0.75</v>
      </c>
      <c r="M56" s="274">
        <v>0.75</v>
      </c>
      <c r="N56" s="274">
        <v>0.75</v>
      </c>
      <c r="O56" s="274">
        <v>0.75</v>
      </c>
      <c r="P56" s="274">
        <v>0.75</v>
      </c>
      <c r="Q56" s="275">
        <v>0.75</v>
      </c>
      <c r="R56" s="199"/>
      <c r="S56" s="219"/>
      <c r="T56" s="199"/>
      <c r="U56" s="199"/>
      <c r="V56" s="199"/>
      <c r="W56" s="234"/>
      <c r="X56" s="163"/>
      <c r="Y56"/>
      <c r="Z56"/>
      <c r="AA56"/>
      <c r="AB56"/>
      <c r="AC56"/>
      <c r="AD56"/>
      <c r="AE56"/>
      <c r="AF56"/>
      <c r="AG56"/>
      <c r="AH56"/>
      <c r="AK56" s="59"/>
      <c r="AL56" s="59"/>
      <c r="AM56" s="59"/>
    </row>
    <row r="57" spans="1:39" s="48" customFormat="1" ht="15.75" customHeight="1">
      <c r="A57" s="232"/>
      <c r="B57" s="336" t="s">
        <v>30</v>
      </c>
      <c r="C57" s="336"/>
      <c r="D57" s="337">
        <v>0</v>
      </c>
      <c r="E57" s="337"/>
      <c r="F57" s="234"/>
      <c r="G57" s="350"/>
      <c r="H57" s="351"/>
      <c r="I57" s="351"/>
      <c r="J57" s="351"/>
      <c r="K57" s="351"/>
      <c r="L57" s="351"/>
      <c r="M57" s="351"/>
      <c r="N57" s="351"/>
      <c r="O57" s="351"/>
      <c r="P57" s="351"/>
      <c r="Q57" s="352"/>
      <c r="R57" s="199"/>
      <c r="S57" s="219"/>
      <c r="T57" s="344" t="s">
        <v>363</v>
      </c>
      <c r="U57" s="344"/>
      <c r="V57" s="344" t="s">
        <v>11</v>
      </c>
      <c r="W57" s="345"/>
      <c r="X57" s="163"/>
      <c r="Y57"/>
      <c r="Z57"/>
      <c r="AA57"/>
      <c r="AB57"/>
      <c r="AC57"/>
      <c r="AD57"/>
      <c r="AE57"/>
      <c r="AF57"/>
      <c r="AG57"/>
      <c r="AH57"/>
      <c r="AK57" s="59"/>
      <c r="AL57" s="59"/>
      <c r="AM57" s="59"/>
    </row>
    <row r="58" spans="1:39" ht="15.75" customHeight="1">
      <c r="A58" s="232"/>
      <c r="B58" s="336" t="s">
        <v>15</v>
      </c>
      <c r="C58" s="336"/>
      <c r="D58" s="337">
        <v>0</v>
      </c>
      <c r="E58" s="337"/>
      <c r="F58" s="234"/>
      <c r="G58" s="350"/>
      <c r="H58" s="351"/>
      <c r="I58" s="351"/>
      <c r="J58" s="351"/>
      <c r="K58" s="351"/>
      <c r="L58" s="351"/>
      <c r="M58" s="351"/>
      <c r="N58" s="351"/>
      <c r="O58" s="351"/>
      <c r="P58" s="351"/>
      <c r="Q58" s="352"/>
      <c r="R58" s="199"/>
      <c r="S58" s="219"/>
      <c r="T58" s="193" t="s">
        <v>363</v>
      </c>
      <c r="U58" s="182">
        <v>102</v>
      </c>
      <c r="V58" s="193" t="s">
        <v>36</v>
      </c>
      <c r="W58" s="192">
        <v>0</v>
      </c>
      <c r="X58" s="163"/>
      <c r="AI58" s="48"/>
      <c r="AJ58" s="48"/>
    </row>
    <row r="59" spans="1:39" ht="15.75" customHeight="1">
      <c r="A59" s="232"/>
      <c r="B59" s="336" t="s">
        <v>34</v>
      </c>
      <c r="C59" s="336"/>
      <c r="D59" s="337">
        <v>-0.5</v>
      </c>
      <c r="E59" s="337"/>
      <c r="F59" s="234"/>
      <c r="G59" s="346" t="s">
        <v>281</v>
      </c>
      <c r="H59" s="344"/>
      <c r="I59" s="344"/>
      <c r="J59" s="344"/>
      <c r="K59" s="344"/>
      <c r="L59" s="344"/>
      <c r="M59" s="344"/>
      <c r="N59" s="344"/>
      <c r="O59" s="344"/>
      <c r="P59" s="344"/>
      <c r="Q59" s="345"/>
      <c r="R59" s="199"/>
      <c r="S59" s="219"/>
      <c r="T59" s="193" t="s">
        <v>364</v>
      </c>
      <c r="U59" s="182">
        <v>12.25</v>
      </c>
      <c r="V59" s="193" t="s">
        <v>150</v>
      </c>
      <c r="W59" s="192">
        <v>0.125</v>
      </c>
      <c r="X59" s="163"/>
      <c r="AI59" s="48"/>
      <c r="AJ59" s="48"/>
    </row>
    <row r="60" spans="1:39" ht="15.75" customHeight="1">
      <c r="A60" s="232"/>
      <c r="B60" s="335"/>
      <c r="C60" s="335"/>
      <c r="D60" s="335"/>
      <c r="E60" s="335"/>
      <c r="F60" s="234"/>
      <c r="G60" s="347" t="s">
        <v>282</v>
      </c>
      <c r="H60" s="348"/>
      <c r="I60" s="348"/>
      <c r="J60" s="348"/>
      <c r="K60" s="348"/>
      <c r="L60" s="348"/>
      <c r="M60" s="348"/>
      <c r="N60" s="348"/>
      <c r="O60" s="348"/>
      <c r="P60" s="348"/>
      <c r="Q60" s="349"/>
      <c r="R60" s="199"/>
      <c r="S60" s="219"/>
      <c r="T60" s="193" t="s">
        <v>365</v>
      </c>
      <c r="U60" s="182">
        <v>99.75</v>
      </c>
      <c r="V60" s="193" t="s">
        <v>151</v>
      </c>
      <c r="W60" s="192">
        <v>0.125</v>
      </c>
      <c r="X60" s="163"/>
      <c r="AI60" s="48"/>
      <c r="AJ60" s="48"/>
    </row>
    <row r="61" spans="1:39" ht="15.75" customHeight="1">
      <c r="A61" s="232"/>
      <c r="B61" s="353"/>
      <c r="C61" s="353"/>
      <c r="D61" s="354"/>
      <c r="E61" s="354"/>
      <c r="F61" s="234"/>
      <c r="G61" s="347"/>
      <c r="H61" s="348"/>
      <c r="I61" s="348"/>
      <c r="J61" s="348"/>
      <c r="K61" s="348"/>
      <c r="L61" s="348"/>
      <c r="M61" s="348"/>
      <c r="N61" s="348"/>
      <c r="O61" s="348"/>
      <c r="P61" s="348"/>
      <c r="Q61" s="349"/>
      <c r="R61" s="199"/>
      <c r="S61" s="219"/>
      <c r="T61" s="199"/>
      <c r="U61" s="199"/>
      <c r="V61" s="199"/>
      <c r="W61" s="234"/>
      <c r="X61" s="163"/>
    </row>
    <row r="62" spans="1:39" ht="15.75" customHeight="1">
      <c r="A62" s="232"/>
      <c r="B62" s="353"/>
      <c r="C62" s="353"/>
      <c r="D62" s="354"/>
      <c r="E62" s="354"/>
      <c r="F62" s="234"/>
      <c r="G62" s="347"/>
      <c r="H62" s="348"/>
      <c r="I62" s="348"/>
      <c r="J62" s="348"/>
      <c r="K62" s="348"/>
      <c r="L62" s="348"/>
      <c r="M62" s="348"/>
      <c r="N62" s="348"/>
      <c r="O62" s="348"/>
      <c r="P62" s="348"/>
      <c r="Q62" s="349"/>
      <c r="R62" s="199"/>
      <c r="S62" s="219"/>
      <c r="T62" s="199"/>
      <c r="U62" s="199"/>
      <c r="V62" s="199"/>
      <c r="W62" s="234"/>
      <c r="X62" s="163"/>
    </row>
    <row r="63" spans="1:39" ht="15.75" customHeight="1">
      <c r="A63" s="232"/>
      <c r="B63" s="358"/>
      <c r="C63" s="358"/>
      <c r="D63" s="358"/>
      <c r="E63" s="358"/>
      <c r="F63" s="234"/>
      <c r="G63" s="347"/>
      <c r="H63" s="348"/>
      <c r="I63" s="348"/>
      <c r="J63" s="348"/>
      <c r="K63" s="348"/>
      <c r="L63" s="348"/>
      <c r="M63" s="348"/>
      <c r="N63" s="348"/>
      <c r="O63" s="348"/>
      <c r="P63" s="348"/>
      <c r="Q63" s="349"/>
      <c r="R63" s="199"/>
      <c r="S63" s="219"/>
      <c r="T63" s="199"/>
      <c r="U63" s="199"/>
      <c r="V63" s="199"/>
      <c r="W63" s="234"/>
      <c r="X63" s="163"/>
    </row>
    <row r="64" spans="1:39" ht="15.75" customHeight="1" thickBot="1">
      <c r="A64" s="235"/>
      <c r="B64" s="221"/>
      <c r="C64" s="221"/>
      <c r="D64" s="221"/>
      <c r="E64" s="221"/>
      <c r="F64" s="230"/>
      <c r="G64" s="346" t="s">
        <v>283</v>
      </c>
      <c r="H64" s="344"/>
      <c r="I64" s="344"/>
      <c r="J64" s="344"/>
      <c r="K64" s="344"/>
      <c r="L64" s="344"/>
      <c r="M64" s="344"/>
      <c r="N64" s="344"/>
      <c r="O64" s="344"/>
      <c r="P64" s="344"/>
      <c r="Q64" s="345"/>
      <c r="R64" s="199"/>
      <c r="S64" s="219"/>
      <c r="T64" s="199"/>
      <c r="U64" s="199"/>
      <c r="V64" s="199"/>
      <c r="W64" s="234"/>
      <c r="X64" s="163"/>
    </row>
    <row r="65" spans="1:40" ht="15.75" customHeight="1" thickBot="1">
      <c r="A65" s="235"/>
      <c r="B65" s="221"/>
      <c r="C65" s="221"/>
      <c r="D65" s="221"/>
      <c r="E65" s="221"/>
      <c r="F65" s="230"/>
      <c r="G65" s="355" t="s">
        <v>169</v>
      </c>
      <c r="H65" s="356"/>
      <c r="I65" s="356"/>
      <c r="J65" s="356"/>
      <c r="K65" s="356"/>
      <c r="L65" s="356"/>
      <c r="M65" s="356"/>
      <c r="N65" s="356"/>
      <c r="O65" s="356"/>
      <c r="P65" s="356"/>
      <c r="Q65" s="357"/>
      <c r="R65" s="200"/>
      <c r="S65" s="220"/>
      <c r="T65" s="221"/>
      <c r="U65" s="221"/>
      <c r="V65" s="221"/>
      <c r="W65" s="261"/>
      <c r="X65" s="164"/>
    </row>
    <row r="66" spans="1:40" ht="15.75" customHeight="1" thickBot="1">
      <c r="A66" s="235"/>
      <c r="B66" s="221"/>
      <c r="C66" s="221"/>
      <c r="D66" s="221"/>
      <c r="E66" s="221"/>
      <c r="F66" s="230"/>
      <c r="G66" s="341" t="s">
        <v>284</v>
      </c>
      <c r="H66" s="342"/>
      <c r="I66" s="342"/>
      <c r="J66" s="342"/>
      <c r="K66" s="342"/>
      <c r="L66" s="342"/>
      <c r="M66" s="342"/>
      <c r="N66" s="342"/>
      <c r="O66" s="342"/>
      <c r="P66" s="342"/>
      <c r="Q66" s="343"/>
      <c r="R66" s="200"/>
      <c r="S66" s="220"/>
      <c r="T66" s="221"/>
      <c r="U66" s="221"/>
      <c r="V66" s="221"/>
      <c r="W66" s="261"/>
      <c r="X66" s="164"/>
    </row>
    <row r="67" spans="1:40" ht="15" customHeight="1" thickBot="1">
      <c r="A67" s="235"/>
      <c r="B67" s="221"/>
      <c r="C67" s="221"/>
      <c r="D67" s="221"/>
      <c r="E67" s="221"/>
      <c r="F67" s="230"/>
      <c r="G67" s="220"/>
      <c r="H67" s="221"/>
      <c r="I67" s="221"/>
      <c r="J67" s="228"/>
      <c r="K67" s="228"/>
      <c r="L67" s="228"/>
      <c r="M67" s="228"/>
      <c r="N67" s="228"/>
      <c r="O67" s="228"/>
      <c r="P67" s="229"/>
      <c r="Q67" s="230"/>
      <c r="R67" s="200"/>
      <c r="S67" s="220"/>
      <c r="T67" s="221"/>
      <c r="U67" s="221"/>
      <c r="V67" s="221"/>
      <c r="W67" s="261"/>
      <c r="X67" s="164"/>
      <c r="AI67"/>
      <c r="AJ67"/>
      <c r="AK67"/>
      <c r="AL67"/>
      <c r="AM67"/>
      <c r="AN67"/>
    </row>
    <row r="68" spans="1:40" ht="15" customHeight="1" thickBot="1">
      <c r="B68"/>
      <c r="C68"/>
      <c r="D68"/>
      <c r="E68"/>
      <c r="F68"/>
      <c r="G68" s="155"/>
      <c r="H68" s="155"/>
      <c r="I68" s="155"/>
      <c r="J68" s="154"/>
      <c r="K68" s="154"/>
      <c r="L68" s="154"/>
      <c r="M68" s="154"/>
      <c r="N68" s="154"/>
      <c r="O68" s="154"/>
      <c r="P68" s="201"/>
      <c r="Q68" s="154"/>
      <c r="R68" s="200"/>
      <c r="S68" s="220"/>
      <c r="T68" s="221"/>
      <c r="U68" s="221"/>
      <c r="V68" s="221"/>
      <c r="W68" s="261"/>
      <c r="X68" s="164"/>
      <c r="AI68"/>
      <c r="AJ68"/>
      <c r="AK68"/>
      <c r="AL68"/>
      <c r="AM68"/>
      <c r="AN68"/>
    </row>
    <row r="69" spans="1:40" ht="15.75" customHeight="1">
      <c r="B69"/>
      <c r="C69"/>
      <c r="D69"/>
      <c r="E69"/>
      <c r="F69"/>
      <c r="G69" s="155"/>
      <c r="H69" s="155"/>
      <c r="I69" s="155"/>
      <c r="J69" s="154"/>
      <c r="K69" s="202" t="s">
        <v>168</v>
      </c>
      <c r="L69" s="202"/>
      <c r="M69" s="202"/>
      <c r="N69" s="154"/>
      <c r="O69" s="154"/>
      <c r="P69" s="201"/>
      <c r="Q69" s="154"/>
      <c r="S69"/>
      <c r="T69"/>
      <c r="U69"/>
      <c r="V69"/>
      <c r="W69"/>
      <c r="X69"/>
      <c r="AI69"/>
      <c r="AJ69"/>
      <c r="AK69"/>
      <c r="AL69"/>
      <c r="AM69"/>
      <c r="AN69"/>
    </row>
    <row r="70" spans="1:40" ht="15" customHeight="1">
      <c r="B70"/>
      <c r="C70"/>
      <c r="D70"/>
      <c r="E70"/>
      <c r="F70"/>
      <c r="G70" s="155"/>
      <c r="H70" s="155"/>
      <c r="I70" s="155"/>
      <c r="J70" s="154"/>
      <c r="K70" s="154"/>
      <c r="L70" s="203"/>
      <c r="M70" s="203"/>
      <c r="N70" s="154"/>
      <c r="O70" s="154"/>
      <c r="P70" s="154"/>
      <c r="Q70" s="154"/>
      <c r="S70"/>
      <c r="T70"/>
      <c r="U70"/>
      <c r="V70"/>
      <c r="W70"/>
      <c r="X70"/>
      <c r="AI70"/>
      <c r="AJ70"/>
      <c r="AK70"/>
      <c r="AL70"/>
      <c r="AM70"/>
      <c r="AN70"/>
    </row>
    <row r="71" spans="1:40" ht="16.5" customHeight="1">
      <c r="F71"/>
      <c r="G71"/>
      <c r="H71"/>
      <c r="I71"/>
      <c r="J71"/>
      <c r="S71"/>
      <c r="T71"/>
      <c r="U71"/>
      <c r="V71"/>
      <c r="W71"/>
      <c r="X71"/>
      <c r="AI71"/>
      <c r="AJ71"/>
      <c r="AK71"/>
      <c r="AL71"/>
      <c r="AM71"/>
      <c r="AN71"/>
    </row>
    <row r="72" spans="1:40" ht="15" customHeight="1">
      <c r="B72"/>
      <c r="C72"/>
      <c r="D72"/>
      <c r="E72"/>
      <c r="F72"/>
      <c r="G72"/>
      <c r="H72"/>
      <c r="I72"/>
      <c r="J72"/>
      <c r="S72"/>
      <c r="T72"/>
      <c r="U72"/>
      <c r="V72"/>
      <c r="W72"/>
      <c r="X72"/>
      <c r="AI72"/>
      <c r="AJ72"/>
      <c r="AK72"/>
      <c r="AL72"/>
      <c r="AM72"/>
      <c r="AN72"/>
    </row>
    <row r="73" spans="1:40" ht="16.5" customHeight="1">
      <c r="B73"/>
      <c r="C73"/>
      <c r="D73"/>
      <c r="E73"/>
      <c r="F73"/>
      <c r="G73"/>
      <c r="H73"/>
      <c r="I73"/>
      <c r="J73"/>
      <c r="S73"/>
      <c r="T73"/>
      <c r="U73"/>
      <c r="V73"/>
      <c r="W73"/>
      <c r="X73"/>
      <c r="AI73"/>
      <c r="AJ73"/>
      <c r="AK73"/>
      <c r="AL73"/>
      <c r="AM73"/>
      <c r="AN73"/>
    </row>
    <row r="74" spans="1:40" ht="15" customHeight="1">
      <c r="B74"/>
      <c r="C74"/>
      <c r="D74"/>
      <c r="E74"/>
      <c r="F74"/>
      <c r="G74"/>
      <c r="H74"/>
      <c r="I74"/>
      <c r="J74"/>
      <c r="S74"/>
      <c r="T74"/>
      <c r="U74"/>
      <c r="V74"/>
      <c r="W74"/>
      <c r="X74"/>
      <c r="AI74"/>
      <c r="AJ74"/>
      <c r="AK74"/>
      <c r="AL74"/>
      <c r="AM74"/>
      <c r="AN74"/>
    </row>
    <row r="75" spans="1:40" ht="15" customHeight="1">
      <c r="B75"/>
      <c r="C75"/>
      <c r="D75"/>
      <c r="E75"/>
      <c r="F75"/>
      <c r="G75"/>
      <c r="H75"/>
      <c r="I75"/>
      <c r="J75"/>
      <c r="S75"/>
      <c r="T75"/>
      <c r="U75"/>
      <c r="V75"/>
      <c r="W75"/>
      <c r="X75"/>
      <c r="AI75"/>
      <c r="AJ75"/>
      <c r="AK75"/>
      <c r="AL75"/>
      <c r="AM75"/>
      <c r="AN75"/>
    </row>
    <row r="76" spans="1:40" ht="15" customHeight="1">
      <c r="B76"/>
      <c r="C76"/>
      <c r="D76"/>
      <c r="E76"/>
      <c r="F76"/>
      <c r="G76"/>
      <c r="H76"/>
      <c r="I76"/>
      <c r="J76"/>
      <c r="S76"/>
      <c r="T76"/>
      <c r="U76"/>
      <c r="V76"/>
      <c r="W76"/>
      <c r="X76"/>
      <c r="AI76"/>
      <c r="AJ76"/>
      <c r="AK76"/>
      <c r="AL76"/>
      <c r="AM76"/>
      <c r="AN76"/>
    </row>
    <row r="77" spans="1:40" ht="18.75" customHeight="1">
      <c r="B77"/>
      <c r="C77"/>
      <c r="D77"/>
      <c r="E77"/>
      <c r="F77"/>
      <c r="G77"/>
      <c r="H77"/>
      <c r="I77"/>
      <c r="J77"/>
      <c r="S77"/>
      <c r="T77"/>
      <c r="U77"/>
      <c r="V77"/>
      <c r="W77"/>
      <c r="X77"/>
      <c r="AI77"/>
      <c r="AJ77"/>
      <c r="AK77"/>
      <c r="AL77"/>
      <c r="AM77"/>
      <c r="AN77"/>
    </row>
    <row r="78" spans="1:40" ht="14.25" customHeight="1">
      <c r="B78"/>
      <c r="C78"/>
      <c r="D78"/>
      <c r="E78"/>
      <c r="F78"/>
      <c r="G78"/>
      <c r="H78"/>
      <c r="I78"/>
      <c r="J78"/>
      <c r="S78"/>
      <c r="T78"/>
      <c r="U78"/>
      <c r="V78"/>
      <c r="W78"/>
      <c r="X78"/>
      <c r="AI78"/>
      <c r="AJ78"/>
      <c r="AK78"/>
      <c r="AL78"/>
      <c r="AM78"/>
      <c r="AN78"/>
    </row>
    <row r="79" spans="1:40" ht="15" customHeight="1">
      <c r="B79"/>
      <c r="C79"/>
      <c r="D79"/>
      <c r="E79"/>
      <c r="F79"/>
      <c r="G79"/>
      <c r="H79"/>
      <c r="I79"/>
      <c r="J79"/>
      <c r="S79"/>
      <c r="T79"/>
      <c r="U79"/>
      <c r="V79"/>
      <c r="W79"/>
      <c r="X79"/>
    </row>
    <row r="80" spans="1:40" ht="14.25" customHeight="1">
      <c r="B80"/>
      <c r="C80"/>
      <c r="D80"/>
      <c r="E80"/>
      <c r="F80"/>
      <c r="G80"/>
      <c r="H80"/>
      <c r="I80"/>
      <c r="J80"/>
      <c r="S80"/>
      <c r="T80"/>
      <c r="U80"/>
      <c r="V80"/>
      <c r="W80"/>
      <c r="X80"/>
    </row>
    <row r="81" spans="2:24" ht="15" customHeight="1">
      <c r="B81"/>
      <c r="C81"/>
      <c r="D81"/>
      <c r="E81"/>
      <c r="F81"/>
      <c r="G81"/>
      <c r="H81"/>
      <c r="I81"/>
      <c r="J81"/>
      <c r="S81"/>
      <c r="T81"/>
      <c r="U81"/>
      <c r="V81"/>
      <c r="W81"/>
      <c r="X81"/>
    </row>
    <row r="82" spans="2:24" ht="15.75" customHeight="1">
      <c r="B82"/>
      <c r="C82"/>
      <c r="D82"/>
      <c r="E82"/>
      <c r="F82"/>
      <c r="G82"/>
      <c r="H82"/>
      <c r="I82"/>
      <c r="J82"/>
      <c r="S82"/>
      <c r="T82"/>
      <c r="U82"/>
      <c r="V82"/>
      <c r="W82"/>
      <c r="X82"/>
    </row>
    <row r="83" spans="2:24" ht="14.25" customHeight="1">
      <c r="B83"/>
      <c r="C83"/>
      <c r="D83"/>
      <c r="E83"/>
      <c r="F83"/>
      <c r="G83"/>
      <c r="H83"/>
      <c r="I83"/>
      <c r="J83"/>
      <c r="S83"/>
      <c r="T83"/>
      <c r="U83"/>
      <c r="V83"/>
      <c r="W83"/>
      <c r="X83"/>
    </row>
    <row r="84" spans="2:24" ht="12.75" customHeight="1">
      <c r="B84"/>
      <c r="C84"/>
      <c r="D84"/>
      <c r="E84"/>
      <c r="F84"/>
      <c r="G84"/>
      <c r="H84"/>
      <c r="I84"/>
      <c r="J84"/>
      <c r="S84"/>
      <c r="T84"/>
      <c r="U84"/>
      <c r="V84"/>
      <c r="W84"/>
      <c r="X84"/>
    </row>
    <row r="85" spans="2:24" ht="14.25" customHeight="1">
      <c r="B85"/>
      <c r="C85"/>
      <c r="D85"/>
      <c r="E85"/>
      <c r="F85"/>
      <c r="G85"/>
      <c r="H85"/>
      <c r="I85"/>
      <c r="J85"/>
      <c r="S85"/>
      <c r="T85"/>
      <c r="U85"/>
      <c r="V85"/>
      <c r="W85"/>
      <c r="X85"/>
    </row>
    <row r="86" spans="2:24" ht="14.25" customHeight="1">
      <c r="B86"/>
      <c r="C86"/>
      <c r="D86"/>
      <c r="E86"/>
      <c r="F86"/>
      <c r="G86"/>
      <c r="H86"/>
      <c r="I86"/>
      <c r="J86"/>
      <c r="S86"/>
      <c r="T86"/>
      <c r="U86"/>
      <c r="V86"/>
      <c r="W86"/>
      <c r="X86"/>
    </row>
    <row r="87" spans="2:24" ht="15" customHeight="1">
      <c r="B87"/>
      <c r="C87"/>
      <c r="D87"/>
      <c r="E87"/>
      <c r="F87"/>
      <c r="G87"/>
      <c r="H87"/>
      <c r="I87"/>
      <c r="J87"/>
      <c r="S87"/>
      <c r="T87"/>
      <c r="U87"/>
      <c r="V87"/>
      <c r="W87"/>
      <c r="X87"/>
    </row>
    <row r="88" spans="2:24">
      <c r="B88"/>
      <c r="C88"/>
      <c r="D88"/>
      <c r="E88"/>
      <c r="F88"/>
      <c r="G88"/>
      <c r="H88"/>
      <c r="J88"/>
      <c r="S88"/>
      <c r="T88"/>
      <c r="U88"/>
      <c r="V88"/>
      <c r="W88"/>
      <c r="X88"/>
    </row>
    <row r="89" spans="2:24">
      <c r="B89"/>
      <c r="C89"/>
      <c r="D89"/>
      <c r="E89"/>
      <c r="F89"/>
      <c r="G89"/>
      <c r="H89"/>
      <c r="J89"/>
    </row>
    <row r="90" spans="2:24">
      <c r="B90"/>
      <c r="C90"/>
      <c r="D90"/>
      <c r="E90"/>
      <c r="F90"/>
      <c r="G90"/>
      <c r="H90"/>
      <c r="J90"/>
    </row>
    <row r="91" spans="2:24">
      <c r="B91"/>
      <c r="C91"/>
      <c r="D91"/>
      <c r="E91"/>
      <c r="F91"/>
      <c r="G91"/>
      <c r="H91"/>
      <c r="J91"/>
    </row>
    <row r="92" spans="2:24">
      <c r="B92"/>
      <c r="C92"/>
      <c r="D92"/>
      <c r="E92"/>
      <c r="F92"/>
      <c r="G92"/>
      <c r="H92"/>
      <c r="J92"/>
    </row>
    <row r="93" spans="2:24">
      <c r="B93"/>
      <c r="C93"/>
      <c r="D93"/>
      <c r="E93"/>
      <c r="F93"/>
      <c r="G93"/>
      <c r="H93"/>
    </row>
    <row r="94" spans="2:24">
      <c r="B94"/>
      <c r="C94"/>
      <c r="D94"/>
      <c r="E94"/>
      <c r="F94"/>
      <c r="G94"/>
      <c r="H94"/>
    </row>
    <row r="95" spans="2:24" ht="14.25" customHeight="1">
      <c r="B95"/>
      <c r="C95"/>
      <c r="D95"/>
      <c r="E95"/>
      <c r="F95"/>
      <c r="G95"/>
      <c r="H95"/>
    </row>
    <row r="96" spans="2:24" ht="15" customHeight="1">
      <c r="B96"/>
      <c r="C96"/>
      <c r="D96"/>
      <c r="E96"/>
      <c r="F96"/>
      <c r="G96"/>
      <c r="H96"/>
    </row>
    <row r="97" spans="2:8" ht="15" customHeight="1">
      <c r="B97"/>
      <c r="C97"/>
      <c r="D97"/>
      <c r="E97"/>
      <c r="F97"/>
      <c r="G97"/>
      <c r="H97"/>
    </row>
    <row r="98" spans="2:8" ht="14.25" customHeight="1">
      <c r="B98"/>
      <c r="C98"/>
      <c r="D98"/>
      <c r="E98"/>
      <c r="F98"/>
      <c r="G98"/>
      <c r="H98"/>
    </row>
    <row r="99" spans="2:8" ht="14.25" customHeight="1">
      <c r="B99"/>
      <c r="C99"/>
      <c r="D99"/>
      <c r="E99"/>
      <c r="F99"/>
      <c r="G99"/>
      <c r="H99"/>
    </row>
    <row r="100" spans="2:8" ht="14.25" customHeight="1">
      <c r="B100"/>
      <c r="C100"/>
      <c r="D100"/>
      <c r="E100"/>
      <c r="F100"/>
      <c r="G100"/>
      <c r="H100"/>
    </row>
    <row r="101" spans="2:8" ht="14.25" customHeight="1">
      <c r="B101"/>
      <c r="C101"/>
      <c r="D101"/>
      <c r="E101"/>
      <c r="F101"/>
      <c r="G101"/>
      <c r="H101"/>
    </row>
    <row r="102" spans="2:8" ht="14.25" customHeight="1">
      <c r="B102"/>
      <c r="C102"/>
      <c r="D102"/>
      <c r="E102"/>
      <c r="F102"/>
      <c r="G102"/>
      <c r="H102"/>
    </row>
    <row r="103" spans="2:8" ht="14.25" customHeight="1">
      <c r="B103"/>
      <c r="C103"/>
      <c r="D103"/>
      <c r="E103"/>
      <c r="F103"/>
      <c r="G103"/>
      <c r="H103"/>
    </row>
    <row r="104" spans="2:8" ht="14.25" customHeight="1">
      <c r="B104"/>
      <c r="C104"/>
      <c r="D104"/>
      <c r="E104"/>
      <c r="F104"/>
      <c r="G104"/>
      <c r="H104"/>
    </row>
    <row r="105" spans="2:8" ht="15" customHeight="1">
      <c r="B105"/>
      <c r="C105"/>
      <c r="D105"/>
      <c r="E105"/>
      <c r="F105"/>
      <c r="G105"/>
      <c r="H105"/>
    </row>
    <row r="106" spans="2:8">
      <c r="B106"/>
      <c r="C106"/>
      <c r="D106"/>
      <c r="E106"/>
      <c r="F106"/>
      <c r="G106"/>
      <c r="H106"/>
    </row>
    <row r="107" spans="2:8">
      <c r="B107"/>
      <c r="C107"/>
      <c r="D107"/>
      <c r="E107"/>
      <c r="F107"/>
    </row>
    <row r="108" spans="2:8">
      <c r="B108"/>
      <c r="C108"/>
      <c r="D108"/>
      <c r="E108"/>
      <c r="F108"/>
    </row>
    <row r="109" spans="2:8">
      <c r="B109"/>
      <c r="C109"/>
      <c r="D109"/>
      <c r="E109"/>
      <c r="F109"/>
    </row>
    <row r="110" spans="2:8">
      <c r="B110"/>
      <c r="C110"/>
      <c r="D110"/>
      <c r="E110"/>
      <c r="F110"/>
    </row>
    <row r="111" spans="2:8">
      <c r="B111"/>
      <c r="C111"/>
      <c r="D111"/>
      <c r="E111"/>
      <c r="F111"/>
    </row>
    <row r="112" spans="2:8">
      <c r="B112"/>
      <c r="C112"/>
      <c r="D112"/>
      <c r="E112"/>
      <c r="F112"/>
    </row>
    <row r="113" spans="2:5">
      <c r="B113"/>
      <c r="C113"/>
      <c r="D113"/>
      <c r="E113"/>
    </row>
    <row r="114" spans="2:5">
      <c r="B114"/>
      <c r="C114"/>
      <c r="D114"/>
      <c r="E114"/>
    </row>
    <row r="115" spans="2:5">
      <c r="B115"/>
      <c r="C115"/>
      <c r="D115"/>
      <c r="E115"/>
    </row>
    <row r="116" spans="2:5">
      <c r="B116"/>
      <c r="C116"/>
      <c r="D116"/>
      <c r="E116"/>
    </row>
    <row r="117" spans="2:5">
      <c r="B117"/>
      <c r="C117"/>
      <c r="D117"/>
      <c r="E117"/>
    </row>
  </sheetData>
  <sheetProtection algorithmName="SHA-512" hashValue="1QRlbSddfbiDeQmSCY8Wm/t4bcqmVwLWrXHOicx0/pPkPOZy8Qakk0YimzXWw5CuoJT6EQsLmm31wUocLAWnWg==" saltValue="v6HHkAlNwESrfn+SWyH2Zg==" spinCount="100000" sheet="1" objects="1" scenarios="1"/>
  <dataConsolidate/>
  <mergeCells count="112">
    <mergeCell ref="I1:L2"/>
    <mergeCell ref="P1:Q2"/>
    <mergeCell ref="O4:Q4"/>
    <mergeCell ref="G25:Q25"/>
    <mergeCell ref="G41:H41"/>
    <mergeCell ref="G40:H40"/>
    <mergeCell ref="G39:H39"/>
    <mergeCell ref="G38:H38"/>
    <mergeCell ref="G37:H37"/>
    <mergeCell ref="G36:H36"/>
    <mergeCell ref="P6:Q6"/>
    <mergeCell ref="G21:Q21"/>
    <mergeCell ref="G10:Q10"/>
    <mergeCell ref="G29:H29"/>
    <mergeCell ref="G30:H30"/>
    <mergeCell ref="G31:H31"/>
    <mergeCell ref="G33:H33"/>
    <mergeCell ref="G34:H34"/>
    <mergeCell ref="G17:H17"/>
    <mergeCell ref="G16:H16"/>
    <mergeCell ref="G15:H15"/>
    <mergeCell ref="G14:H14"/>
    <mergeCell ref="G7:Q8"/>
    <mergeCell ref="G12:H12"/>
    <mergeCell ref="G13:H13"/>
    <mergeCell ref="S17:T17"/>
    <mergeCell ref="S18:T18"/>
    <mergeCell ref="S7:W8"/>
    <mergeCell ref="S9:T9"/>
    <mergeCell ref="S10:T10"/>
    <mergeCell ref="S11:T11"/>
    <mergeCell ref="S12:T12"/>
    <mergeCell ref="S13:T13"/>
    <mergeCell ref="S16:T16"/>
    <mergeCell ref="S14:T14"/>
    <mergeCell ref="S15:T15"/>
    <mergeCell ref="U36:V36"/>
    <mergeCell ref="S24:T24"/>
    <mergeCell ref="S22:T22"/>
    <mergeCell ref="S23:T23"/>
    <mergeCell ref="S26:T26"/>
    <mergeCell ref="G23:H23"/>
    <mergeCell ref="G22:Q22"/>
    <mergeCell ref="G19:H19"/>
    <mergeCell ref="G18:H18"/>
    <mergeCell ref="S19:T19"/>
    <mergeCell ref="S21:T21"/>
    <mergeCell ref="G32:Q32"/>
    <mergeCell ref="G35:Q35"/>
    <mergeCell ref="G66:Q66"/>
    <mergeCell ref="T57:U57"/>
    <mergeCell ref="V57:W57"/>
    <mergeCell ref="G59:Q59"/>
    <mergeCell ref="G60:Q63"/>
    <mergeCell ref="G57:Q57"/>
    <mergeCell ref="G58:Q58"/>
    <mergeCell ref="B61:C61"/>
    <mergeCell ref="D61:E61"/>
    <mergeCell ref="B62:C62"/>
    <mergeCell ref="D62:E62"/>
    <mergeCell ref="G64:Q64"/>
    <mergeCell ref="G65:Q65"/>
    <mergeCell ref="B63:C63"/>
    <mergeCell ref="D63:E63"/>
    <mergeCell ref="G53:Q53"/>
    <mergeCell ref="G54:H54"/>
    <mergeCell ref="G55:H55"/>
    <mergeCell ref="G56:H56"/>
    <mergeCell ref="S42:W44"/>
    <mergeCell ref="S38:W41"/>
    <mergeCell ref="G50:H50"/>
    <mergeCell ref="B60:C60"/>
    <mergeCell ref="D60:E60"/>
    <mergeCell ref="G45:H45"/>
    <mergeCell ref="G47:H47"/>
    <mergeCell ref="G46:Q46"/>
    <mergeCell ref="G42:Q42"/>
    <mergeCell ref="B58:C58"/>
    <mergeCell ref="D58:E58"/>
    <mergeCell ref="B56:C56"/>
    <mergeCell ref="D56:E56"/>
    <mergeCell ref="B57:C57"/>
    <mergeCell ref="D57:E57"/>
    <mergeCell ref="B59:C59"/>
    <mergeCell ref="D59:E59"/>
    <mergeCell ref="G51:H51"/>
    <mergeCell ref="G52:H52"/>
    <mergeCell ref="G49:Q49"/>
    <mergeCell ref="G48:H48"/>
    <mergeCell ref="S32:V32"/>
    <mergeCell ref="S33:T33"/>
    <mergeCell ref="B7:E8"/>
    <mergeCell ref="B10:E10"/>
    <mergeCell ref="U37:V37"/>
    <mergeCell ref="S25:T25"/>
    <mergeCell ref="G24:H24"/>
    <mergeCell ref="S20:T20"/>
    <mergeCell ref="S29:U29"/>
    <mergeCell ref="S30:U30"/>
    <mergeCell ref="G28:H28"/>
    <mergeCell ref="G26:H26"/>
    <mergeCell ref="G27:H27"/>
    <mergeCell ref="S37:T37"/>
    <mergeCell ref="G43:H43"/>
    <mergeCell ref="G44:H44"/>
    <mergeCell ref="S27:U27"/>
    <mergeCell ref="S28:U28"/>
    <mergeCell ref="U33:V33"/>
    <mergeCell ref="S34:T34"/>
    <mergeCell ref="S35:T35"/>
    <mergeCell ref="S31:U31"/>
    <mergeCell ref="S36:T36"/>
  </mergeCells>
  <conditionalFormatting sqref="V30">
    <cfRule type="expression" dxfId="18" priority="23">
      <formula xml:space="preserve"> #REF! &gt; #REF! +0.1</formula>
    </cfRule>
  </conditionalFormatting>
  <conditionalFormatting sqref="S12:S14">
    <cfRule type="beginsWith" dxfId="17" priority="22" operator="beginsWith" text="Choose">
      <formula>LEFT(S12,LEN("Choose"))="Choose"</formula>
    </cfRule>
  </conditionalFormatting>
  <conditionalFormatting sqref="W16:X16 W17">
    <cfRule type="expression" dxfId="16" priority="24">
      <formula>$AC$27</formula>
    </cfRule>
  </conditionalFormatting>
  <conditionalFormatting sqref="V11:V19 V21:V26">
    <cfRule type="containsErrors" dxfId="15" priority="21">
      <formula>ISERROR(V11)</formula>
    </cfRule>
  </conditionalFormatting>
  <conditionalFormatting sqref="V20">
    <cfRule type="containsErrors" dxfId="14" priority="16">
      <formula>ISERROR(V20)</formula>
    </cfRule>
  </conditionalFormatting>
  <conditionalFormatting sqref="W19:X19">
    <cfRule type="containsText" dxfId="13" priority="15" operator="containsText" text="ELIGIBLE for 5.99% @ 100">
      <formula>NOT(ISERROR(SEARCH("ELIGIBLE for 5.99% @ 100",W19)))</formula>
    </cfRule>
  </conditionalFormatting>
  <conditionalFormatting sqref="U9">
    <cfRule type="containsText" dxfId="12" priority="11" operator="containsText" text="Rate">
      <formula>NOT(ISERROR(SEARCH("Rate",U9)))</formula>
    </cfRule>
    <cfRule type="expression" dxfId="11" priority="14">
      <formula>Output_NetPrice_ExpNR &lt; 99</formula>
    </cfRule>
  </conditionalFormatting>
  <conditionalFormatting sqref="U9">
    <cfRule type="expression" dxfId="10" priority="13">
      <formula>Output_NetPrice_JM &lt; 99</formula>
    </cfRule>
  </conditionalFormatting>
  <conditionalFormatting sqref="W18:X18">
    <cfRule type="containsText" dxfId="9" priority="12" operator="containsText" text="&gt;= 80.01% LTV Purchase/Primary Only ">
      <formula>NOT(ISERROR(SEARCH("&gt;= 80.01% LTV Purchase/Primary Only ",W18)))</formula>
    </cfRule>
  </conditionalFormatting>
  <conditionalFormatting sqref="W13:X14">
    <cfRule type="expression" dxfId="8" priority="10">
      <formula>ISERROR(W13)</formula>
    </cfRule>
  </conditionalFormatting>
  <conditionalFormatting sqref="P19:Q19 C12:D55 Q18">
    <cfRule type="containsErrors" dxfId="7" priority="33">
      <formula>ISERROR(C12)</formula>
    </cfRule>
  </conditionalFormatting>
  <conditionalFormatting sqref="W15:X15">
    <cfRule type="expression" dxfId="6" priority="8">
      <formula>IF($U$19="Condotel",TRUE,FALSE)</formula>
    </cfRule>
  </conditionalFormatting>
  <conditionalFormatting sqref="E22:E55">
    <cfRule type="containsErrors" dxfId="5" priority="5">
      <formula>ISERROR(E22)</formula>
    </cfRule>
  </conditionalFormatting>
  <conditionalFormatting sqref="W34:X34">
    <cfRule type="expression" dxfId="4" priority="2">
      <formula>$W$34="Min Floor Rate Not Met!!!"</formula>
    </cfRule>
    <cfRule type="expression" dxfId="3" priority="3">
      <formula>$W$34="Min Floor Rate Met"</formula>
    </cfRule>
    <cfRule type="containsErrors" dxfId="2" priority="4">
      <formula>ISERROR(W34)</formula>
    </cfRule>
  </conditionalFormatting>
  <conditionalFormatting sqref="G60">
    <cfRule type="containsText" dxfId="1" priority="1" operator="containsText" text="n/a">
      <formula>NOT(ISERROR(SEARCH("n/a",G60)))</formula>
    </cfRule>
  </conditionalFormatting>
  <hyperlinks>
    <hyperlink ref="G65" r:id="rId1" display="https://loanstreamwholesale.com/wp-content/uploads/2022/04/LSM-X-UND_FEESALLOWED-WHOLESALE-04-18-22.pdf" xr:uid="{058176BB-FB0F-493D-B40B-E9F476A04A21}"/>
    <hyperlink ref="K70:M70" r:id="rId2" display="Click Here" xr:uid="{CCD91612-C50A-4EEA-AC37-9834655071CC}"/>
  </hyperlinks>
  <pageMargins left="0.25" right="0.25" top="0.75" bottom="0.75" header="0.3" footer="0.3"/>
  <pageSetup paperSize="5" scale="46" orientation="landscape" horizontalDpi="1200" verticalDpi="1200" r:id="rId3"/>
  <drawing r:id="rId4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7" id="{0F9FC969-9C73-4074-BC37-A9E0D66B3E5D}">
            <xm:f>'Feed(WS)'!$B$30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W17:X17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7">
        <x14:dataValidation type="list" allowBlank="1" showInputMessage="1" showErrorMessage="1" xr:uid="{E7E65856-EB5B-49E4-AFDB-564F4CEB5022}">
          <x14:formula1>
            <xm:f>'Feed(WS)'!$M$2:$M$4</xm:f>
          </x14:formula1>
          <xm:sqref>U12</xm:sqref>
        </x14:dataValidation>
        <x14:dataValidation type="list" allowBlank="1" showInputMessage="1" showErrorMessage="1" xr:uid="{D997C51D-8770-415F-89A1-61B4ECC5D4A6}">
          <x14:formula1>
            <xm:f>'Feed(WS)'!$H$2:$H$9</xm:f>
          </x14:formula1>
          <xm:sqref>U19</xm:sqref>
        </x14:dataValidation>
        <x14:dataValidation type="list" allowBlank="1" showInputMessage="1" showErrorMessage="1" xr:uid="{40BB61E9-0AB2-46AA-8746-0E55DBA0A798}">
          <x14:formula1>
            <xm:f>'Feed(WS)'!$A$2:$A$12</xm:f>
          </x14:formula1>
          <xm:sqref>U11</xm:sqref>
        </x14:dataValidation>
        <x14:dataValidation type="list" allowBlank="1" showInputMessage="1" showErrorMessage="1" xr:uid="{DA1E0342-2384-46C0-8696-4B464BAA0AA0}">
          <x14:formula1>
            <xm:f>'Feed(WS)'!$I$2:$I$6</xm:f>
          </x14:formula1>
          <xm:sqref>U18</xm:sqref>
        </x14:dataValidation>
        <x14:dataValidation type="list" allowBlank="1" showInputMessage="1" showErrorMessage="1" xr:uid="{4459D67A-4C5A-45EB-A1BF-15B846033727}">
          <x14:formula1>
            <xm:f>'Feed(WS)'!$L$2:$L$7</xm:f>
          </x14:formula1>
          <xm:sqref>U15</xm:sqref>
        </x14:dataValidation>
        <x14:dataValidation type="list" allowBlank="1" showInputMessage="1" showErrorMessage="1" xr:uid="{8F1A90D8-4C24-4171-A9EE-19CEA105AC29}">
          <x14:formula1>
            <xm:f>'Feed(WS)'!$J$2:$J$13</xm:f>
          </x14:formula1>
          <xm:sqref>U20</xm:sqref>
        </x14:dataValidation>
        <x14:dataValidation type="list" allowBlank="1" showInputMessage="1" showErrorMessage="1" xr:uid="{192EA2E4-F4D5-4A05-84DC-BCC5C965CC1B}">
          <x14:formula1>
            <xm:f>'Feed(WS)'!$K$2:$K$5</xm:f>
          </x14:formula1>
          <xm:sqref>U25</xm:sqref>
        </x14:dataValidation>
        <x14:dataValidation type="list" allowBlank="1" showInputMessage="1" showErrorMessage="1" xr:uid="{6BEB7297-B309-4D30-A0DC-C86F6B7DE7C0}">
          <x14:formula1>
            <xm:f>'Feed(WS)'!$N$81:$N$127</xm:f>
          </x14:formula1>
          <xm:sqref>U9</xm:sqref>
        </x14:dataValidation>
        <x14:dataValidation type="list" allowBlank="1" showInputMessage="1" showErrorMessage="1" xr:uid="{C634D410-864B-41E7-A96F-1101BAC9C154}">
          <x14:formula1>
            <xm:f>'Feed(WS)'!$O$2:$O$5</xm:f>
          </x14:formula1>
          <xm:sqref>U23</xm:sqref>
        </x14:dataValidation>
        <x14:dataValidation type="list" allowBlank="1" showInputMessage="1" showErrorMessage="1" xr:uid="{7C720A05-5208-432F-8267-642F6F60189D}">
          <x14:formula1>
            <xm:f>'Feed(WS)'!$N$2:$N$13</xm:f>
          </x14:formula1>
          <xm:sqref>U22</xm:sqref>
        </x14:dataValidation>
        <x14:dataValidation type="list" allowBlank="1" showInputMessage="1" showErrorMessage="1" xr:uid="{2976FA70-E5F7-40DE-B3DE-E61C58835DEB}">
          <x14:formula1>
            <xm:f>'Feed(WS)'!$F$2:$F$11</xm:f>
          </x14:formula1>
          <xm:sqref>U17</xm:sqref>
        </x14:dataValidation>
        <x14:dataValidation type="list" allowBlank="1" showInputMessage="1" showErrorMessage="1" xr:uid="{38B1840E-09F1-44BC-996C-2369C819F779}">
          <x14:formula1>
            <xm:f>'Feed(WS)'!$B$2:$B$13</xm:f>
          </x14:formula1>
          <xm:sqref>U10</xm:sqref>
        </x14:dataValidation>
        <x14:dataValidation type="list" allowBlank="1" showInputMessage="1" showErrorMessage="1" xr:uid="{04473042-D687-4670-AA6C-65D7DF197574}">
          <x14:formula1>
            <xm:f>'Feed(WS)'!$C$2:$C$6</xm:f>
          </x14:formula1>
          <xm:sqref>U13</xm:sqref>
        </x14:dataValidation>
        <x14:dataValidation type="list" allowBlank="1" showInputMessage="1" showErrorMessage="1" xr:uid="{74BCD424-0AE8-442B-8571-957CBBC60269}">
          <x14:formula1>
            <xm:f>'Feed(WS)'!$P$2:$P$5</xm:f>
          </x14:formula1>
          <xm:sqref>U24</xm:sqref>
        </x14:dataValidation>
        <x14:dataValidation type="list" allowBlank="1" showInputMessage="1" showErrorMessage="1" xr:uid="{DE82DC6B-7697-43FD-B922-72F47154F398}">
          <x14:formula1>
            <xm:f>'Feed(WS)'!$E$2:$E$6</xm:f>
          </x14:formula1>
          <xm:sqref>U16</xm:sqref>
        </x14:dataValidation>
        <x14:dataValidation type="list" allowBlank="1" showInputMessage="1" showErrorMessage="1" xr:uid="{FA17A4A0-AA72-49B5-82B5-ED9A2798F65F}">
          <x14:formula1>
            <xm:f>'Feed(WS)'!$D$2:$D$8</xm:f>
          </x14:formula1>
          <xm:sqref>U14</xm:sqref>
        </x14:dataValidation>
        <x14:dataValidation type="list" allowBlank="1" showInputMessage="1" showErrorMessage="1" xr:uid="{639C3A0E-D58A-491A-BA35-A515E27B3EFF}">
          <x14:formula1>
            <xm:f>'Feed(WS)'!$G$2:$G$6</xm:f>
          </x14:formula1>
          <xm:sqref>U21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1C745-8941-40E8-B309-2236D5E0307B}">
  <sheetPr codeName="Sheet12"/>
  <dimension ref="A1:F16"/>
  <sheetViews>
    <sheetView workbookViewId="0">
      <selection sqref="A1:C1"/>
    </sheetView>
  </sheetViews>
  <sheetFormatPr baseColWidth="10" defaultColWidth="9.1640625" defaultRowHeight="15"/>
  <cols>
    <col min="1" max="2" width="25" style="276" customWidth="1"/>
    <col min="3" max="3" width="7.5" style="276" customWidth="1"/>
    <col min="4" max="4" width="21" style="276" customWidth="1"/>
    <col min="5" max="5" width="25" style="276" customWidth="1"/>
    <col min="6" max="6" width="10.83203125" style="276" customWidth="1"/>
    <col min="7" max="16384" width="9.1640625" style="276"/>
  </cols>
  <sheetData>
    <row r="1" spans="1:6" ht="98.25" customHeight="1">
      <c r="A1" s="405" t="s">
        <v>299</v>
      </c>
      <c r="B1" s="405"/>
      <c r="C1" s="405"/>
      <c r="D1" s="406" t="s">
        <v>300</v>
      </c>
      <c r="E1" s="406"/>
      <c r="F1" s="406"/>
    </row>
    <row r="2" spans="1:6">
      <c r="A2" s="407" t="s">
        <v>301</v>
      </c>
      <c r="B2" s="408"/>
      <c r="C2" s="408"/>
      <c r="D2" s="408"/>
      <c r="E2" s="409"/>
      <c r="F2" s="277"/>
    </row>
    <row r="3" spans="1:6" ht="16">
      <c r="A3" s="278" t="s">
        <v>302</v>
      </c>
      <c r="B3" s="278" t="s">
        <v>303</v>
      </c>
      <c r="C3" s="403" t="s">
        <v>304</v>
      </c>
      <c r="D3" s="404"/>
      <c r="E3" s="278" t="s">
        <v>305</v>
      </c>
      <c r="F3" s="277"/>
    </row>
    <row r="4" spans="1:6" ht="16">
      <c r="A4" s="278" t="s">
        <v>306</v>
      </c>
      <c r="B4" s="278" t="s">
        <v>307</v>
      </c>
      <c r="C4" s="403" t="s">
        <v>308</v>
      </c>
      <c r="D4" s="404"/>
      <c r="E4" s="278" t="s">
        <v>309</v>
      </c>
      <c r="F4" s="277"/>
    </row>
    <row r="5" spans="1:6" ht="16">
      <c r="A5" s="278" t="s">
        <v>310</v>
      </c>
      <c r="B5" s="278" t="s">
        <v>311</v>
      </c>
      <c r="C5" s="403" t="s">
        <v>312</v>
      </c>
      <c r="D5" s="404"/>
      <c r="E5" s="278" t="s">
        <v>313</v>
      </c>
      <c r="F5" s="277"/>
    </row>
    <row r="6" spans="1:6" ht="16">
      <c r="A6" s="278" t="s">
        <v>314</v>
      </c>
      <c r="B6" s="278" t="s">
        <v>315</v>
      </c>
      <c r="C6" s="403" t="s">
        <v>316</v>
      </c>
      <c r="D6" s="404"/>
      <c r="E6" s="278" t="s">
        <v>317</v>
      </c>
      <c r="F6" s="277"/>
    </row>
    <row r="7" spans="1:6" ht="16">
      <c r="A7" s="278" t="s">
        <v>318</v>
      </c>
      <c r="B7" s="278" t="s">
        <v>319</v>
      </c>
      <c r="C7" s="403" t="s">
        <v>320</v>
      </c>
      <c r="D7" s="404"/>
      <c r="E7" s="279"/>
      <c r="F7" s="277"/>
    </row>
    <row r="8" spans="1:6">
      <c r="A8" s="407" t="s">
        <v>321</v>
      </c>
      <c r="B8" s="408"/>
      <c r="C8" s="408"/>
      <c r="D8" s="408"/>
      <c r="E8" s="409"/>
      <c r="F8" s="277"/>
    </row>
    <row r="9" spans="1:6" ht="16">
      <c r="A9" s="278" t="s">
        <v>322</v>
      </c>
      <c r="B9" s="278" t="s">
        <v>323</v>
      </c>
      <c r="C9" s="403" t="s">
        <v>324</v>
      </c>
      <c r="D9" s="404"/>
      <c r="E9" s="278" t="s">
        <v>325</v>
      </c>
      <c r="F9" s="277"/>
    </row>
    <row r="10" spans="1:6" ht="16">
      <c r="A10" s="278" t="s">
        <v>326</v>
      </c>
      <c r="B10" s="278" t="s">
        <v>327</v>
      </c>
      <c r="C10" s="403" t="s">
        <v>328</v>
      </c>
      <c r="D10" s="404"/>
      <c r="E10" s="278" t="s">
        <v>329</v>
      </c>
      <c r="F10" s="277"/>
    </row>
    <row r="11" spans="1:6" ht="16">
      <c r="A11" s="278" t="s">
        <v>330</v>
      </c>
      <c r="B11" s="278" t="s">
        <v>331</v>
      </c>
      <c r="C11" s="403" t="s">
        <v>332</v>
      </c>
      <c r="D11" s="404"/>
      <c r="E11" s="278" t="s">
        <v>333</v>
      </c>
      <c r="F11" s="277"/>
    </row>
    <row r="12" spans="1:6" ht="16">
      <c r="A12" s="278" t="s">
        <v>334</v>
      </c>
      <c r="B12" s="278" t="s">
        <v>335</v>
      </c>
      <c r="C12" s="403" t="s">
        <v>336</v>
      </c>
      <c r="D12" s="404"/>
      <c r="E12" s="278" t="s">
        <v>337</v>
      </c>
      <c r="F12" s="277"/>
    </row>
    <row r="13" spans="1:6" ht="16">
      <c r="A13" s="278" t="s">
        <v>338</v>
      </c>
      <c r="B13" s="278" t="s">
        <v>339</v>
      </c>
      <c r="C13" s="403" t="s">
        <v>340</v>
      </c>
      <c r="D13" s="404"/>
      <c r="E13" s="278" t="s">
        <v>341</v>
      </c>
      <c r="F13" s="277"/>
    </row>
    <row r="14" spans="1:6" ht="16">
      <c r="A14" s="278" t="s">
        <v>342</v>
      </c>
      <c r="B14" s="278" t="s">
        <v>343</v>
      </c>
      <c r="C14" s="403" t="s">
        <v>344</v>
      </c>
      <c r="D14" s="404"/>
      <c r="E14" s="278" t="s">
        <v>345</v>
      </c>
      <c r="F14" s="277"/>
    </row>
    <row r="15" spans="1:6" ht="16">
      <c r="A15" s="278" t="s">
        <v>346</v>
      </c>
      <c r="B15" s="278" t="s">
        <v>347</v>
      </c>
      <c r="C15" s="403" t="s">
        <v>348</v>
      </c>
      <c r="D15" s="404"/>
      <c r="E15" s="278" t="s">
        <v>349</v>
      </c>
      <c r="F15" s="277"/>
    </row>
    <row r="16" spans="1:6" ht="16">
      <c r="A16" s="278" t="s">
        <v>350</v>
      </c>
      <c r="B16" s="278" t="s">
        <v>351</v>
      </c>
      <c r="C16" s="403" t="s">
        <v>352</v>
      </c>
      <c r="D16" s="404"/>
      <c r="E16" s="279"/>
      <c r="F16" s="277"/>
    </row>
  </sheetData>
  <mergeCells count="17">
    <mergeCell ref="C11:D11"/>
    <mergeCell ref="A1:C1"/>
    <mergeCell ref="D1:F1"/>
    <mergeCell ref="A2:E2"/>
    <mergeCell ref="C3:D3"/>
    <mergeCell ref="C4:D4"/>
    <mergeCell ref="C5:D5"/>
    <mergeCell ref="C6:D6"/>
    <mergeCell ref="C7:D7"/>
    <mergeCell ref="A8:E8"/>
    <mergeCell ref="C9:D9"/>
    <mergeCell ref="C10:D10"/>
    <mergeCell ref="C12:D12"/>
    <mergeCell ref="C13:D13"/>
    <mergeCell ref="C14:D14"/>
    <mergeCell ref="C15:D15"/>
    <mergeCell ref="C16:D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4BC12-DEDF-46C2-82A5-BE781FB445A9}">
  <sheetPr codeName="Sheet3">
    <pageSetUpPr fitToPage="1"/>
  </sheetPr>
  <dimension ref="B1:V45"/>
  <sheetViews>
    <sheetView workbookViewId="0"/>
  </sheetViews>
  <sheetFormatPr baseColWidth="10" defaultColWidth="9.1640625" defaultRowHeight="13"/>
  <cols>
    <col min="1" max="1" width="2.33203125" style="3" customWidth="1"/>
    <col min="2" max="2" width="1.33203125" style="3" customWidth="1"/>
    <col min="3" max="3" width="8.6640625" style="3" customWidth="1"/>
    <col min="4" max="4" width="10" style="3" bestFit="1" customWidth="1"/>
    <col min="5" max="5" width="8.6640625" style="3" customWidth="1"/>
    <col min="6" max="6" width="7.33203125" style="3" customWidth="1"/>
    <col min="7" max="7" width="7.5" style="3" customWidth="1"/>
    <col min="8" max="8" width="13.83203125" style="3" customWidth="1"/>
    <col min="9" max="9" width="12.33203125" style="3" customWidth="1"/>
    <col min="10" max="10" width="14.1640625" style="3" customWidth="1"/>
    <col min="11" max="11" width="9.1640625" style="3"/>
    <col min="12" max="12" width="2.5" style="3" customWidth="1"/>
    <col min="13" max="13" width="2.83203125" style="3" customWidth="1"/>
    <col min="14" max="14" width="12.1640625" style="3" customWidth="1"/>
    <col min="15" max="15" width="5.83203125" style="3" customWidth="1"/>
    <col min="16" max="16" width="4.1640625" style="3" customWidth="1"/>
    <col min="17" max="17" width="12.33203125" style="3" bestFit="1" customWidth="1"/>
    <col min="18" max="18" width="9.1640625" style="3"/>
    <col min="19" max="19" width="5.6640625" style="3" customWidth="1"/>
    <col min="20" max="20" width="14.5" style="3" customWidth="1"/>
    <col min="21" max="21" width="4" style="3" customWidth="1"/>
    <col min="22" max="22" width="0.83203125" style="3" customWidth="1"/>
    <col min="23" max="16384" width="9.1640625" style="3"/>
  </cols>
  <sheetData>
    <row r="1" spans="2:22" ht="2.25" customHeight="1" thickBot="1">
      <c r="B1" s="16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8"/>
    </row>
    <row r="2" spans="2:22">
      <c r="B2" s="19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20"/>
    </row>
    <row r="3" spans="2:22" ht="14">
      <c r="B3" s="21"/>
      <c r="M3" s="22"/>
      <c r="V3" s="9"/>
    </row>
    <row r="4" spans="2:22" ht="14">
      <c r="B4" s="21"/>
      <c r="M4" s="22"/>
      <c r="V4" s="9"/>
    </row>
    <row r="5" spans="2:22" ht="18.75" customHeight="1">
      <c r="B5" s="21"/>
      <c r="J5" s="23" t="s">
        <v>42</v>
      </c>
      <c r="M5" s="7"/>
      <c r="V5" s="9"/>
    </row>
    <row r="6" spans="2:22" ht="18.75" customHeight="1">
      <c r="B6" s="21"/>
      <c r="J6" s="23" t="s">
        <v>43</v>
      </c>
      <c r="M6" s="7"/>
      <c r="V6" s="9"/>
    </row>
    <row r="7" spans="2:22" ht="18.75" customHeight="1">
      <c r="B7" s="21"/>
      <c r="J7" s="23"/>
      <c r="M7" s="7"/>
      <c r="V7" s="9"/>
    </row>
    <row r="8" spans="2:22" ht="18.75" customHeight="1">
      <c r="B8" s="21"/>
      <c r="K8" s="24"/>
      <c r="V8" s="9"/>
    </row>
    <row r="9" spans="2:22" ht="18.75" customHeight="1">
      <c r="B9" s="21"/>
      <c r="K9" s="24"/>
      <c r="V9" s="9"/>
    </row>
    <row r="10" spans="2:22">
      <c r="B10" s="21"/>
      <c r="V10" s="9"/>
    </row>
    <row r="11" spans="2:22">
      <c r="B11" s="21"/>
      <c r="V11" s="9"/>
    </row>
    <row r="12" spans="2:22" ht="14">
      <c r="B12" s="429" t="s">
        <v>44</v>
      </c>
      <c r="C12" s="430"/>
      <c r="D12" s="430"/>
      <c r="E12" s="430"/>
      <c r="F12" s="430"/>
      <c r="G12" s="430"/>
      <c r="H12" s="430"/>
      <c r="I12" s="430"/>
      <c r="J12" s="430"/>
      <c r="K12" s="430"/>
      <c r="L12" s="430"/>
      <c r="M12" s="430"/>
      <c r="N12" s="430"/>
      <c r="O12" s="430"/>
      <c r="P12" s="430"/>
      <c r="Q12" s="430"/>
      <c r="R12" s="430"/>
      <c r="S12" s="430"/>
      <c r="T12" s="430"/>
      <c r="U12" s="430"/>
      <c r="V12" s="431"/>
    </row>
    <row r="13" spans="2:22" ht="15" thickBot="1">
      <c r="B13" s="25"/>
      <c r="C13" s="6"/>
      <c r="D13" s="6"/>
      <c r="E13" s="6"/>
      <c r="F13" s="6"/>
      <c r="G13" s="6"/>
      <c r="H13" s="5"/>
      <c r="I13" s="26"/>
      <c r="J13" s="26"/>
      <c r="K13" s="26"/>
      <c r="L13" s="26"/>
      <c r="M13" s="5"/>
      <c r="N13" s="5"/>
      <c r="O13" s="5"/>
      <c r="P13" s="5"/>
      <c r="Q13" s="5"/>
      <c r="R13" s="5"/>
      <c r="S13" s="5"/>
      <c r="T13" s="5"/>
      <c r="U13" s="5"/>
      <c r="V13" s="9"/>
    </row>
    <row r="14" spans="2:22" ht="15" customHeight="1" thickBot="1">
      <c r="B14" s="25"/>
      <c r="C14" s="474" t="s">
        <v>45</v>
      </c>
      <c r="D14" s="475"/>
      <c r="E14" s="476"/>
      <c r="F14" s="451" t="s">
        <v>46</v>
      </c>
      <c r="G14" s="452"/>
      <c r="H14" s="5"/>
      <c r="I14" s="433" t="s">
        <v>47</v>
      </c>
      <c r="J14" s="434"/>
      <c r="K14" s="435"/>
      <c r="M14" s="5"/>
      <c r="N14" s="471" t="s">
        <v>48</v>
      </c>
      <c r="O14" s="472"/>
      <c r="P14" s="472"/>
      <c r="Q14" s="472"/>
      <c r="R14" s="472"/>
      <c r="S14" s="472"/>
      <c r="T14" s="472"/>
      <c r="U14" s="473"/>
      <c r="V14" s="9"/>
    </row>
    <row r="15" spans="2:22" ht="17.25" customHeight="1" thickBot="1">
      <c r="B15" s="25"/>
      <c r="C15" s="45" t="s">
        <v>49</v>
      </c>
      <c r="D15" s="477">
        <v>1295</v>
      </c>
      <c r="E15" s="478"/>
      <c r="F15" s="455">
        <v>-0.25</v>
      </c>
      <c r="G15" s="456"/>
      <c r="H15" s="5"/>
      <c r="I15" s="436" t="s">
        <v>50</v>
      </c>
      <c r="J15" s="437"/>
      <c r="K15" s="438"/>
      <c r="M15" s="5"/>
      <c r="N15" s="458" t="s">
        <v>51</v>
      </c>
      <c r="O15" s="459"/>
      <c r="P15" s="460"/>
      <c r="Q15" s="32" t="s">
        <v>52</v>
      </c>
      <c r="R15" s="32" t="s">
        <v>53</v>
      </c>
      <c r="S15" s="32"/>
      <c r="T15" s="32"/>
      <c r="U15" s="33"/>
      <c r="V15" s="9"/>
    </row>
    <row r="16" spans="2:22" ht="15">
      <c r="B16" s="25"/>
      <c r="C16" s="479" t="s">
        <v>54</v>
      </c>
      <c r="D16" s="480"/>
      <c r="E16" s="481"/>
      <c r="F16" s="451" t="s">
        <v>55</v>
      </c>
      <c r="G16" s="452"/>
      <c r="H16" s="5"/>
      <c r="I16" s="439"/>
      <c r="J16" s="440"/>
      <c r="K16" s="441"/>
      <c r="M16" s="5"/>
      <c r="N16" s="461"/>
      <c r="O16" s="462"/>
      <c r="P16" s="463"/>
      <c r="Q16" s="30" t="s">
        <v>56</v>
      </c>
      <c r="R16" s="432" t="s">
        <v>57</v>
      </c>
      <c r="S16" s="432"/>
      <c r="T16" s="432"/>
      <c r="U16" s="34"/>
      <c r="V16" s="9"/>
    </row>
    <row r="17" spans="2:22" ht="17.25" customHeight="1" thickBot="1">
      <c r="B17" s="25"/>
      <c r="C17" s="482">
        <v>79</v>
      </c>
      <c r="D17" s="483"/>
      <c r="E17" s="484"/>
      <c r="F17" s="455" t="s">
        <v>58</v>
      </c>
      <c r="G17" s="456"/>
      <c r="H17" s="5"/>
      <c r="I17" s="442"/>
      <c r="J17" s="443"/>
      <c r="K17" s="444"/>
      <c r="M17" s="5"/>
      <c r="N17" s="448"/>
      <c r="O17" s="449"/>
      <c r="P17" s="450"/>
      <c r="Q17" s="11"/>
      <c r="R17" s="11"/>
      <c r="S17" s="11"/>
      <c r="T17" s="11"/>
      <c r="U17" s="35"/>
      <c r="V17" s="9"/>
    </row>
    <row r="18" spans="2:22" ht="15" customHeight="1">
      <c r="B18" s="25"/>
      <c r="H18" s="5"/>
      <c r="M18" s="5"/>
      <c r="N18" s="445" t="s">
        <v>59</v>
      </c>
      <c r="O18" s="446"/>
      <c r="P18" s="447"/>
      <c r="Q18" s="30" t="s">
        <v>52</v>
      </c>
      <c r="R18" s="30" t="s">
        <v>60</v>
      </c>
      <c r="S18" s="30"/>
      <c r="T18" s="30"/>
      <c r="U18" s="34"/>
      <c r="V18" s="9"/>
    </row>
    <row r="19" spans="2:22" ht="13.5" customHeight="1" thickBot="1">
      <c r="B19" s="25"/>
      <c r="M19" s="5"/>
      <c r="N19" s="448"/>
      <c r="O19" s="449"/>
      <c r="P19" s="450"/>
      <c r="Q19" s="30" t="s">
        <v>56</v>
      </c>
      <c r="R19" s="453" t="s">
        <v>61</v>
      </c>
      <c r="S19" s="453"/>
      <c r="T19" s="453"/>
      <c r="U19" s="454"/>
      <c r="V19" s="9"/>
    </row>
    <row r="20" spans="2:22" ht="13.5" customHeight="1" thickBot="1">
      <c r="B20" s="25"/>
      <c r="C20" s="464" t="s">
        <v>62</v>
      </c>
      <c r="D20" s="465"/>
      <c r="E20" s="465"/>
      <c r="F20" s="465"/>
      <c r="G20" s="465"/>
      <c r="H20" s="465"/>
      <c r="I20" s="465"/>
      <c r="J20" s="466"/>
      <c r="M20" s="5"/>
      <c r="N20" s="445" t="s">
        <v>63</v>
      </c>
      <c r="O20" s="446"/>
      <c r="P20" s="447"/>
      <c r="Q20" s="71" t="s">
        <v>52</v>
      </c>
      <c r="R20" s="72" t="s">
        <v>60</v>
      </c>
      <c r="S20" s="72"/>
      <c r="T20" s="72"/>
      <c r="U20" s="73"/>
      <c r="V20" s="9"/>
    </row>
    <row r="21" spans="2:22" ht="15.75" customHeight="1" thickBot="1">
      <c r="B21" s="25"/>
      <c r="C21" s="414" t="s">
        <v>64</v>
      </c>
      <c r="D21" s="413"/>
      <c r="E21" s="413" t="s">
        <v>65</v>
      </c>
      <c r="F21" s="413"/>
      <c r="G21" s="413" t="s">
        <v>66</v>
      </c>
      <c r="H21" s="413"/>
      <c r="I21" s="413"/>
      <c r="J21" s="47" t="s">
        <v>67</v>
      </c>
      <c r="M21" s="5"/>
      <c r="N21" s="448"/>
      <c r="O21" s="449"/>
      <c r="P21" s="450"/>
      <c r="Q21" s="12" t="s">
        <v>56</v>
      </c>
      <c r="R21" s="457" t="s">
        <v>68</v>
      </c>
      <c r="S21" s="457"/>
      <c r="T21" s="457"/>
      <c r="U21" s="36"/>
      <c r="V21" s="9"/>
    </row>
    <row r="22" spans="2:22" ht="14">
      <c r="B22" s="25"/>
      <c r="C22" s="469" t="s">
        <v>69</v>
      </c>
      <c r="D22" s="470"/>
      <c r="E22" s="428" t="s">
        <v>70</v>
      </c>
      <c r="F22" s="428"/>
      <c r="G22" s="428" t="s">
        <v>71</v>
      </c>
      <c r="H22" s="428"/>
      <c r="I22" s="428"/>
      <c r="J22" s="46" t="s">
        <v>72</v>
      </c>
      <c r="M22" s="5"/>
      <c r="N22" s="416" t="s">
        <v>73</v>
      </c>
      <c r="O22" s="417"/>
      <c r="P22" s="418"/>
      <c r="Q22" s="74" t="s">
        <v>52</v>
      </c>
      <c r="R22" s="74" t="s">
        <v>60</v>
      </c>
      <c r="S22" s="74"/>
      <c r="T22" s="74"/>
      <c r="U22" s="75"/>
      <c r="V22" s="9"/>
    </row>
    <row r="23" spans="2:22" ht="14">
      <c r="B23" s="25"/>
      <c r="C23" s="467" t="s">
        <v>74</v>
      </c>
      <c r="D23" s="468"/>
      <c r="E23" s="410" t="s">
        <v>70</v>
      </c>
      <c r="F23" s="411"/>
      <c r="G23" s="410" t="s">
        <v>75</v>
      </c>
      <c r="H23" s="412"/>
      <c r="I23" s="411"/>
      <c r="J23" s="76"/>
      <c r="M23" s="5"/>
      <c r="N23" s="419"/>
      <c r="O23" s="420"/>
      <c r="P23" s="421"/>
      <c r="Q23" s="14" t="s">
        <v>56</v>
      </c>
      <c r="R23" s="13" t="s">
        <v>76</v>
      </c>
      <c r="S23" s="13"/>
      <c r="T23" s="13"/>
      <c r="U23" s="37"/>
      <c r="V23" s="9"/>
    </row>
    <row r="24" spans="2:22" ht="14">
      <c r="B24" s="25"/>
      <c r="C24" s="467" t="s">
        <v>77</v>
      </c>
      <c r="D24" s="468"/>
      <c r="E24" s="410" t="s">
        <v>70</v>
      </c>
      <c r="F24" s="411"/>
      <c r="G24" s="410" t="s">
        <v>78</v>
      </c>
      <c r="H24" s="412"/>
      <c r="I24" s="411"/>
      <c r="J24" s="76" t="s">
        <v>72</v>
      </c>
      <c r="L24" s="27"/>
      <c r="M24" s="5"/>
      <c r="N24" s="416" t="s">
        <v>79</v>
      </c>
      <c r="O24" s="417"/>
      <c r="P24" s="418"/>
      <c r="Q24" s="10" t="s">
        <v>52</v>
      </c>
      <c r="R24" s="10" t="s">
        <v>80</v>
      </c>
      <c r="S24" s="10"/>
      <c r="T24" s="10"/>
      <c r="U24" s="38"/>
      <c r="V24" s="9"/>
    </row>
    <row r="25" spans="2:22" ht="14">
      <c r="B25" s="25"/>
      <c r="C25" s="467" t="s">
        <v>81</v>
      </c>
      <c r="D25" s="468"/>
      <c r="E25" s="410" t="s">
        <v>70</v>
      </c>
      <c r="F25" s="411"/>
      <c r="G25" s="410" t="s">
        <v>78</v>
      </c>
      <c r="H25" s="412"/>
      <c r="I25" s="411"/>
      <c r="J25" s="76" t="s">
        <v>72</v>
      </c>
      <c r="M25" s="5"/>
      <c r="N25" s="419"/>
      <c r="O25" s="420"/>
      <c r="P25" s="421"/>
      <c r="Q25" s="30" t="s">
        <v>56</v>
      </c>
      <c r="R25" s="432" t="s">
        <v>82</v>
      </c>
      <c r="S25" s="432"/>
      <c r="T25" s="432"/>
      <c r="U25" s="34"/>
      <c r="V25" s="9"/>
    </row>
    <row r="26" spans="2:22" ht="14">
      <c r="B26" s="25"/>
      <c r="C26" s="467" t="s">
        <v>83</v>
      </c>
      <c r="D26" s="468"/>
      <c r="E26" s="410" t="s">
        <v>84</v>
      </c>
      <c r="F26" s="411"/>
      <c r="G26" s="410" t="s">
        <v>71</v>
      </c>
      <c r="H26" s="412"/>
      <c r="I26" s="411"/>
      <c r="J26" s="76" t="s">
        <v>85</v>
      </c>
      <c r="M26" s="5"/>
      <c r="N26" s="416" t="s">
        <v>86</v>
      </c>
      <c r="O26" s="417"/>
      <c r="P26" s="418"/>
      <c r="Q26" s="77" t="s">
        <v>52</v>
      </c>
      <c r="R26" s="74" t="s">
        <v>60</v>
      </c>
      <c r="S26" s="74"/>
      <c r="T26" s="74"/>
      <c r="U26" s="75"/>
      <c r="V26" s="9"/>
    </row>
    <row r="27" spans="2:22" ht="14">
      <c r="B27" s="25"/>
      <c r="C27" s="467" t="s">
        <v>87</v>
      </c>
      <c r="D27" s="468"/>
      <c r="E27" s="410" t="s">
        <v>88</v>
      </c>
      <c r="F27" s="411"/>
      <c r="G27" s="410" t="s">
        <v>89</v>
      </c>
      <c r="H27" s="412"/>
      <c r="I27" s="411"/>
      <c r="J27" s="76" t="s">
        <v>90</v>
      </c>
      <c r="M27" s="5"/>
      <c r="N27" s="419"/>
      <c r="O27" s="420"/>
      <c r="P27" s="421"/>
      <c r="Q27" s="15" t="s">
        <v>56</v>
      </c>
      <c r="R27" s="415" t="s">
        <v>91</v>
      </c>
      <c r="S27" s="415"/>
      <c r="T27" s="415"/>
      <c r="U27" s="51"/>
      <c r="V27" s="9"/>
    </row>
    <row r="28" spans="2:22" ht="14">
      <c r="B28" s="25"/>
      <c r="C28" s="467" t="s">
        <v>92</v>
      </c>
      <c r="D28" s="468"/>
      <c r="E28" s="410" t="s">
        <v>88</v>
      </c>
      <c r="F28" s="411"/>
      <c r="G28" s="410" t="s">
        <v>78</v>
      </c>
      <c r="H28" s="412"/>
      <c r="I28" s="411"/>
      <c r="J28" s="76" t="s">
        <v>93</v>
      </c>
      <c r="M28" s="5"/>
      <c r="N28" s="416" t="s">
        <v>94</v>
      </c>
      <c r="O28" s="417"/>
      <c r="P28" s="418"/>
      <c r="Q28" s="31" t="s">
        <v>52</v>
      </c>
      <c r="R28" s="31" t="s">
        <v>60</v>
      </c>
      <c r="S28" s="31"/>
      <c r="T28" s="31"/>
      <c r="U28" s="39"/>
      <c r="V28" s="9"/>
    </row>
    <row r="29" spans="2:22" ht="14">
      <c r="B29" s="25"/>
      <c r="C29" s="467" t="s">
        <v>95</v>
      </c>
      <c r="D29" s="468"/>
      <c r="E29" s="410" t="s">
        <v>88</v>
      </c>
      <c r="F29" s="411"/>
      <c r="G29" s="410" t="s">
        <v>96</v>
      </c>
      <c r="H29" s="412"/>
      <c r="I29" s="411"/>
      <c r="J29" s="76" t="s">
        <v>97</v>
      </c>
      <c r="M29" s="5"/>
      <c r="N29" s="422"/>
      <c r="O29" s="423"/>
      <c r="P29" s="424"/>
      <c r="Q29" s="31" t="s">
        <v>56</v>
      </c>
      <c r="R29" s="425" t="s">
        <v>98</v>
      </c>
      <c r="S29" s="425"/>
      <c r="T29" s="425"/>
      <c r="U29" s="39"/>
      <c r="V29" s="9"/>
    </row>
    <row r="30" spans="2:22" ht="14">
      <c r="B30" s="25"/>
      <c r="C30" s="467" t="s">
        <v>99</v>
      </c>
      <c r="D30" s="468"/>
      <c r="E30" s="410" t="s">
        <v>88</v>
      </c>
      <c r="F30" s="411"/>
      <c r="G30" s="410" t="s">
        <v>100</v>
      </c>
      <c r="H30" s="412"/>
      <c r="I30" s="411"/>
      <c r="J30" s="76" t="s">
        <v>97</v>
      </c>
      <c r="M30" s="5"/>
      <c r="N30" s="445" t="s">
        <v>101</v>
      </c>
      <c r="O30" s="446"/>
      <c r="P30" s="446"/>
      <c r="Q30" s="77" t="s">
        <v>102</v>
      </c>
      <c r="R30" s="74" t="s">
        <v>103</v>
      </c>
      <c r="S30" s="74"/>
      <c r="T30" s="74"/>
      <c r="U30" s="75"/>
      <c r="V30" s="9"/>
    </row>
    <row r="31" spans="2:22" ht="15" thickBot="1">
      <c r="B31" s="25"/>
      <c r="C31" s="496" t="s">
        <v>104</v>
      </c>
      <c r="D31" s="497"/>
      <c r="E31" s="426" t="s">
        <v>88</v>
      </c>
      <c r="F31" s="427"/>
      <c r="G31" s="426" t="s">
        <v>105</v>
      </c>
      <c r="H31" s="495"/>
      <c r="I31" s="427"/>
      <c r="J31" s="78" t="s">
        <v>106</v>
      </c>
      <c r="M31" s="5"/>
      <c r="N31" s="461"/>
      <c r="O31" s="462"/>
      <c r="P31" s="462"/>
      <c r="Q31" s="43" t="s">
        <v>56</v>
      </c>
      <c r="R31" s="425" t="s">
        <v>107</v>
      </c>
      <c r="S31" s="425"/>
      <c r="T31" s="425"/>
      <c r="U31" s="39"/>
      <c r="V31" s="9"/>
    </row>
    <row r="32" spans="2:22" ht="14">
      <c r="B32" s="25"/>
      <c r="I32" s="5"/>
      <c r="M32" s="5"/>
      <c r="N32" s="461"/>
      <c r="O32" s="462"/>
      <c r="P32" s="462"/>
      <c r="Q32" s="77" t="s">
        <v>102</v>
      </c>
      <c r="R32" s="74" t="s">
        <v>108</v>
      </c>
      <c r="S32" s="74"/>
      <c r="T32" s="74"/>
      <c r="U32" s="75"/>
      <c r="V32" s="9"/>
    </row>
    <row r="33" spans="2:22" ht="14">
      <c r="B33" s="25"/>
      <c r="G33" s="29"/>
      <c r="H33" s="29"/>
      <c r="M33" s="5"/>
      <c r="N33" s="461"/>
      <c r="O33" s="462"/>
      <c r="P33" s="462"/>
      <c r="Q33" s="15" t="s">
        <v>56</v>
      </c>
      <c r="R33" s="415" t="s">
        <v>109</v>
      </c>
      <c r="S33" s="415"/>
      <c r="T33" s="415"/>
      <c r="U33" s="40"/>
      <c r="V33" s="9"/>
    </row>
    <row r="34" spans="2:22" ht="14">
      <c r="B34" s="25"/>
      <c r="G34" s="29"/>
      <c r="H34" s="29"/>
      <c r="M34" s="5"/>
      <c r="N34" s="461"/>
      <c r="O34" s="462"/>
      <c r="P34" s="462"/>
      <c r="Q34" s="77" t="s">
        <v>102</v>
      </c>
      <c r="R34" s="74" t="s">
        <v>110</v>
      </c>
      <c r="S34" s="74"/>
      <c r="T34" s="74"/>
      <c r="U34" s="79"/>
      <c r="V34" s="9"/>
    </row>
    <row r="35" spans="2:22" ht="14">
      <c r="B35" s="25"/>
      <c r="G35" s="29"/>
      <c r="H35" s="29"/>
      <c r="M35" s="5"/>
      <c r="N35" s="461"/>
      <c r="O35" s="462"/>
      <c r="P35" s="462"/>
      <c r="Q35" s="15" t="s">
        <v>56</v>
      </c>
      <c r="R35" s="415" t="s">
        <v>111</v>
      </c>
      <c r="S35" s="415"/>
      <c r="T35" s="415"/>
      <c r="U35" s="40"/>
      <c r="V35" s="9"/>
    </row>
    <row r="36" spans="2:22" ht="14">
      <c r="B36" s="25"/>
      <c r="G36" s="29"/>
      <c r="H36" s="29"/>
      <c r="M36" s="5"/>
      <c r="N36" s="461"/>
      <c r="O36" s="462"/>
      <c r="P36" s="462"/>
      <c r="Q36" s="43" t="s">
        <v>102</v>
      </c>
      <c r="R36" s="31" t="s">
        <v>112</v>
      </c>
      <c r="S36" s="31"/>
      <c r="T36" s="31"/>
      <c r="U36" s="41"/>
      <c r="V36" s="9"/>
    </row>
    <row r="37" spans="2:22" ht="14">
      <c r="B37" s="25"/>
      <c r="C37" s="491"/>
      <c r="D37" s="491"/>
      <c r="F37" s="491"/>
      <c r="G37" s="491"/>
      <c r="H37" s="29"/>
      <c r="I37" s="491"/>
      <c r="J37" s="491"/>
      <c r="M37" s="5"/>
      <c r="N37" s="461"/>
      <c r="O37" s="462"/>
      <c r="P37" s="462"/>
      <c r="Q37" s="15" t="s">
        <v>56</v>
      </c>
      <c r="R37" s="415" t="s">
        <v>113</v>
      </c>
      <c r="S37" s="415"/>
      <c r="T37" s="415"/>
      <c r="U37" s="40"/>
      <c r="V37" s="9"/>
    </row>
    <row r="38" spans="2:22" ht="14">
      <c r="B38" s="25"/>
      <c r="G38" s="29"/>
      <c r="H38" s="29"/>
      <c r="M38" s="5"/>
      <c r="N38" s="461"/>
      <c r="O38" s="462"/>
      <c r="P38" s="462"/>
      <c r="Q38" s="43" t="s">
        <v>102</v>
      </c>
      <c r="R38" s="31" t="s">
        <v>114</v>
      </c>
      <c r="S38" s="31"/>
      <c r="T38" s="31"/>
      <c r="U38" s="41"/>
      <c r="V38" s="9"/>
    </row>
    <row r="39" spans="2:22" ht="15" thickBot="1">
      <c r="B39" s="25"/>
      <c r="C39" s="491"/>
      <c r="D39" s="491"/>
      <c r="F39" s="491"/>
      <c r="G39" s="491"/>
      <c r="H39" s="29"/>
      <c r="I39" s="491"/>
      <c r="J39" s="491"/>
      <c r="M39" s="5"/>
      <c r="N39" s="493"/>
      <c r="O39" s="494"/>
      <c r="P39" s="494"/>
      <c r="Q39" s="44" t="s">
        <v>56</v>
      </c>
      <c r="R39" s="492" t="s">
        <v>115</v>
      </c>
      <c r="S39" s="492"/>
      <c r="T39" s="492"/>
      <c r="U39" s="42"/>
      <c r="V39" s="9"/>
    </row>
    <row r="40" spans="2:22" ht="15">
      <c r="B40" s="25"/>
      <c r="G40" s="29"/>
      <c r="H40" s="29"/>
      <c r="N40" s="8"/>
      <c r="O40" s="8"/>
      <c r="P40" s="8"/>
      <c r="Q40" s="5"/>
      <c r="R40" s="5"/>
      <c r="S40" s="5"/>
      <c r="T40" s="5"/>
      <c r="U40" s="5"/>
      <c r="V40" s="9"/>
    </row>
    <row r="41" spans="2:22" ht="14">
      <c r="B41" s="25"/>
      <c r="G41" s="29"/>
      <c r="H41" s="29"/>
      <c r="N41" s="28"/>
      <c r="O41" s="28"/>
      <c r="P41" s="28"/>
      <c r="Q41" s="28"/>
      <c r="R41" s="28"/>
      <c r="S41" s="28"/>
      <c r="T41" s="28"/>
      <c r="U41" s="28"/>
      <c r="V41" s="9"/>
    </row>
    <row r="42" spans="2:22" ht="13.5" customHeight="1">
      <c r="B42" s="25"/>
      <c r="G42" s="29"/>
      <c r="H42" s="29"/>
      <c r="N42" s="28"/>
      <c r="O42" s="28"/>
      <c r="P42" s="28"/>
      <c r="Q42" s="28"/>
      <c r="R42" s="28"/>
      <c r="S42" s="28"/>
      <c r="T42" s="28"/>
      <c r="U42" s="28"/>
      <c r="V42" s="9"/>
    </row>
    <row r="43" spans="2:22" ht="14">
      <c r="B43" s="25"/>
      <c r="G43" s="29"/>
      <c r="H43" s="29"/>
      <c r="N43" s="28"/>
      <c r="O43" s="28"/>
      <c r="P43" s="28"/>
      <c r="Q43" s="28"/>
      <c r="R43" s="28"/>
      <c r="S43" s="28"/>
      <c r="T43" s="28"/>
      <c r="U43" s="28"/>
      <c r="V43" s="9"/>
    </row>
    <row r="44" spans="2:22" ht="12.75" customHeight="1">
      <c r="B44" s="488" t="s">
        <v>116</v>
      </c>
      <c r="C44" s="489"/>
      <c r="D44" s="489"/>
      <c r="E44" s="489"/>
      <c r="F44" s="489"/>
      <c r="G44" s="489"/>
      <c r="H44" s="489"/>
      <c r="I44" s="489"/>
      <c r="J44" s="489"/>
      <c r="K44" s="489"/>
      <c r="L44" s="489"/>
      <c r="M44" s="489"/>
      <c r="N44" s="489"/>
      <c r="O44" s="489"/>
      <c r="P44" s="489"/>
      <c r="Q44" s="489"/>
      <c r="R44" s="489"/>
      <c r="S44" s="489"/>
      <c r="T44" s="489"/>
      <c r="U44" s="489"/>
      <c r="V44" s="490"/>
    </row>
    <row r="45" spans="2:22" ht="14" customHeight="1" thickBot="1">
      <c r="B45" s="485" t="s">
        <v>117</v>
      </c>
      <c r="C45" s="486"/>
      <c r="D45" s="486"/>
      <c r="E45" s="486"/>
      <c r="F45" s="486"/>
      <c r="G45" s="486"/>
      <c r="H45" s="486"/>
      <c r="I45" s="486"/>
      <c r="J45" s="486"/>
      <c r="K45" s="486"/>
      <c r="L45" s="486"/>
      <c r="M45" s="486"/>
      <c r="N45" s="486"/>
      <c r="O45" s="486"/>
      <c r="P45" s="486"/>
      <c r="Q45" s="486"/>
      <c r="R45" s="486"/>
      <c r="S45" s="486"/>
      <c r="T45" s="486"/>
      <c r="U45" s="486"/>
      <c r="V45" s="487"/>
    </row>
  </sheetData>
  <sheetProtection algorithmName="SHA-512" hashValue="CAZiKzBs5xkuOso1/Wnbjj0RUT+/SICNBoYBDrXsby20KelgDP9J8uv14uqjYJgb26aY3PT8Pk262pG+qrRWwQ==" saltValue="+gM0PvNIHe8oJdqzHPqsWA==" spinCount="100000" sheet="1" objects="1" scenarios="1"/>
  <mergeCells count="73">
    <mergeCell ref="B45:V45"/>
    <mergeCell ref="B44:V44"/>
    <mergeCell ref="C37:D37"/>
    <mergeCell ref="C39:D39"/>
    <mergeCell ref="F37:G37"/>
    <mergeCell ref="F39:G39"/>
    <mergeCell ref="I37:J37"/>
    <mergeCell ref="I39:J39"/>
    <mergeCell ref="R39:T39"/>
    <mergeCell ref="N30:P39"/>
    <mergeCell ref="C30:D30"/>
    <mergeCell ref="E30:F30"/>
    <mergeCell ref="G31:I31"/>
    <mergeCell ref="G30:I30"/>
    <mergeCell ref="C31:D31"/>
    <mergeCell ref="R35:T35"/>
    <mergeCell ref="N14:U14"/>
    <mergeCell ref="C14:E14"/>
    <mergeCell ref="D15:E15"/>
    <mergeCell ref="C16:E16"/>
    <mergeCell ref="C17:E17"/>
    <mergeCell ref="F16:G16"/>
    <mergeCell ref="F17:G17"/>
    <mergeCell ref="C22:D22"/>
    <mergeCell ref="E22:F22"/>
    <mergeCell ref="C23:D23"/>
    <mergeCell ref="E23:F23"/>
    <mergeCell ref="C24:D24"/>
    <mergeCell ref="E24:F24"/>
    <mergeCell ref="C29:D29"/>
    <mergeCell ref="E29:F29"/>
    <mergeCell ref="C26:D26"/>
    <mergeCell ref="C28:D28"/>
    <mergeCell ref="C27:D27"/>
    <mergeCell ref="E27:F27"/>
    <mergeCell ref="N24:P25"/>
    <mergeCell ref="B12:V12"/>
    <mergeCell ref="R16:T16"/>
    <mergeCell ref="R25:T25"/>
    <mergeCell ref="I14:K14"/>
    <mergeCell ref="I15:K17"/>
    <mergeCell ref="N20:P21"/>
    <mergeCell ref="N18:P19"/>
    <mergeCell ref="F14:G14"/>
    <mergeCell ref="R19:U19"/>
    <mergeCell ref="F15:G15"/>
    <mergeCell ref="R21:T21"/>
    <mergeCell ref="N15:P17"/>
    <mergeCell ref="C20:J20"/>
    <mergeCell ref="N22:P23"/>
    <mergeCell ref="C25:D25"/>
    <mergeCell ref="G21:I21"/>
    <mergeCell ref="C21:D21"/>
    <mergeCell ref="E21:F21"/>
    <mergeCell ref="R37:T37"/>
    <mergeCell ref="N26:P27"/>
    <mergeCell ref="N28:P29"/>
    <mergeCell ref="R33:T33"/>
    <mergeCell ref="R31:T31"/>
    <mergeCell ref="R29:T29"/>
    <mergeCell ref="R27:T27"/>
    <mergeCell ref="E31:F31"/>
    <mergeCell ref="G22:I22"/>
    <mergeCell ref="G23:I23"/>
    <mergeCell ref="G24:I24"/>
    <mergeCell ref="G25:I25"/>
    <mergeCell ref="G29:I29"/>
    <mergeCell ref="E25:F25"/>
    <mergeCell ref="G27:I27"/>
    <mergeCell ref="G28:I28"/>
    <mergeCell ref="E26:F26"/>
    <mergeCell ref="E28:F28"/>
    <mergeCell ref="G26:I26"/>
  </mergeCells>
  <hyperlinks>
    <hyperlink ref="R16" r:id="rId1" display="mailto:Inquires@LSMortgage.com" xr:uid="{A5139638-8792-4199-A826-FA957505E7A6}"/>
    <hyperlink ref="R25" r:id="rId2" display="mailto:LockDesk@LSMortgage.com" xr:uid="{65103436-F5DE-4C4C-AC7E-3CC88C5CF862}"/>
    <hyperlink ref="R21" r:id="rId3" xr:uid="{ABEC6167-E70E-49AD-98F2-AE851E153D16}"/>
    <hyperlink ref="R19" r:id="rId4" display="mailto:EZQual@LSMortgage.com" xr:uid="{91B33622-1231-4C3B-BEB3-FCE98E4B7B56}"/>
    <hyperlink ref="R31" r:id="rId5" xr:uid="{762BA6D4-1ED6-4997-92E8-81D211C26805}"/>
    <hyperlink ref="R27" r:id="rId6" display="mailto:CD@LSMortgage.com" xr:uid="{54B0246F-3122-4392-87D6-050196FAFE60}"/>
    <hyperlink ref="R29" r:id="rId7" display="mailto:Funding@LSMortgage.com" xr:uid="{1B881B0B-274C-46FE-879B-89EB88EAF931}"/>
    <hyperlink ref="R23" r:id="rId8" display="mailto:Submissions_ls@LSMortgage.com" xr:uid="{4A73A542-4489-4BF7-AF43-3454E5F29072}"/>
    <hyperlink ref="R33" r:id="rId9" xr:uid="{EE6BE69E-2ED6-4A51-8FAB-F3230D89175A}"/>
    <hyperlink ref="R35" r:id="rId10" xr:uid="{C6E443A5-75C8-4E92-B6CA-11AA75F2E1CC}"/>
    <hyperlink ref="R37" r:id="rId11" xr:uid="{8165E073-9337-499E-93D5-36431D7C7A5D}"/>
    <hyperlink ref="R39" r:id="rId12" xr:uid="{174E13FF-0AAE-47FD-AA5A-800DCD58BCD1}"/>
  </hyperlinks>
  <pageMargins left="0.25" right="0.25" top="0.75" bottom="0.75" header="0.3" footer="0.3"/>
  <pageSetup scale="79" orientation="landscape" horizontalDpi="1200" verticalDpi="1200" r:id="rId13"/>
  <drawing r:id="rId1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D5C0A-00B1-4030-8296-56DD5B5FB583}">
  <sheetPr codeName="Sheet4"/>
  <dimension ref="A1"/>
  <sheetViews>
    <sheetView workbookViewId="0"/>
  </sheetViews>
  <sheetFormatPr baseColWidth="10" defaultColWidth="8.83203125" defaultRowHeight="15"/>
  <sheetData/>
  <sheetProtection algorithmName="SHA-512" hashValue="tZHXN4O4Txiu1BLIbv+t7FtZ11eWfCfdjgu9F23Sw23evN1gIn6mot7OGnEgVW3oqcFoSxjx7nsqrEGUG57kCw==" saltValue="XiV9p5SBdQQ3zjQMJPisSw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Feed(WS)</vt:lpstr>
      <vt:lpstr>Closed End Seconds (FL)</vt:lpstr>
      <vt:lpstr>Prepay Matrix</vt:lpstr>
      <vt:lpstr>Cover Page</vt:lpstr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Moe Aziz</dc:creator>
  <cp:keywords/>
  <dc:description/>
  <cp:lastModifiedBy>Christopher Lagowski</cp:lastModifiedBy>
  <cp:revision/>
  <cp:lastPrinted>2026-10-01T13:35:45Z</cp:lastPrinted>
  <dcterms:created xsi:type="dcterms:W3CDTF">2019-03-27T01:13:56Z</dcterms:created>
  <dcterms:modified xsi:type="dcterms:W3CDTF">2026-10-01T16:18:50Z</dcterms:modified>
  <cp:category/>
  <cp:contentStatus/>
</cp:coreProperties>
</file>