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428846DF-B1DF-48C5-8989-4AA7704594DB}" xr6:coauthVersionLast="47" xr6:coauthVersionMax="47" xr10:uidLastSave="{00000000-0000-0000-0000-000000000000}"/>
  <workbookProtection workbookAlgorithmName="SHA-512" workbookHashValue="Un9HEQiivv3BfJCo/w/LNtbqBYnfDdI8FRkPY7Lu8lbiyyEq3n40jjmXQTl5AILCRs7zKg60q02ZDhZiWw+n/A==" workbookSaltValue="3f4SpZH8pM4ontFgS+MvXQ==" workbookSpinCount="100000" lockStructure="1"/>
  <bookViews>
    <workbookView xWindow="1530" yWindow="1875" windowWidth="26850" windowHeight="1324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E109" i="38" l="1"/>
  <c r="M128" i="21"/>
  <c r="M130" i="21"/>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3" i="23"/>
  <c r="T12" i="23"/>
  <c r="Q35" i="23" l="1"/>
  <c r="T35" i="23"/>
  <c r="S35" i="23" s="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94" i="21" l="1"/>
  <c r="G82" i="21"/>
  <c r="T33" i="23"/>
  <c r="S33" i="23" s="1"/>
  <c r="T26" i="23"/>
  <c r="T14" i="23"/>
  <c r="T39"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L126" i="21" a="1"/>
  <c r="M126" i="21" a="1"/>
  <c r="M129" i="21" l="1"/>
  <c r="M127" i="21"/>
  <c r="L127" i="21"/>
  <c r="L128" i="21" s="1"/>
  <c r="L129" i="21"/>
  <c r="L130" i="21" s="1"/>
  <c r="N132" i="21" l="1"/>
  <c r="L134" i="21" s="1"/>
  <c r="N130" i="21"/>
  <c r="S35" i="6"/>
  <c r="T35" i="15"/>
  <c r="V35" i="8"/>
  <c r="V35" i="6"/>
  <c r="U35" i="6" s="1"/>
  <c r="P168" i="4" l="1"/>
  <c r="K134" i="21"/>
  <c r="Q163" i="4"/>
  <c r="Q168" i="4"/>
  <c r="O163" i="4"/>
  <c r="P163" i="4"/>
  <c r="R163" i="4"/>
  <c r="O168" i="4"/>
  <c r="R168" i="4"/>
  <c r="T38" i="23" l="1"/>
  <c r="Q41" i="23"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I108" i="38"/>
  <c r="I109" i="38" s="1"/>
  <c r="N111" i="38" s="1"/>
  <c r="L113" i="38" s="1"/>
  <c r="I107" i="38"/>
  <c r="N109" i="38" s="1"/>
  <c r="B67" i="4"/>
  <c r="G82" i="4" s="1"/>
  <c r="K113" i="38" l="1"/>
  <c r="V33" i="6"/>
  <c r="U33" i="6" s="1"/>
  <c r="V33" i="8"/>
  <c r="U33" i="8" s="1"/>
  <c r="T33" i="15"/>
  <c r="G94" i="4" l="1"/>
  <c r="E147" i="4"/>
  <c r="V39" i="6" l="1"/>
  <c r="T39" i="15"/>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6"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<sst xmlns="http://schemas.openxmlformats.org/spreadsheetml/2006/main" count="3600" uniqueCount="941">
  <si>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</si>
  <si>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</si>
  <si>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</si>
  <si>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</si>
  <si>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</si>
  <si>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</si>
  <si>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</si>
  <si>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</si>
  <si>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</si>
  <si>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</si>
  <si>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</si>
  <si>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</si>
  <si>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</si>
  <si>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</si>
  <si>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</si>
  <si>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</si>
  <si>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</si>
  <si>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</si>
  <si>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</si>
  <si>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</si>
  <si>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</si>
  <si>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</si>
  <si>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</si>
  <si>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</si>
  <si>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</si>
  <si>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</si>
  <si>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</si>
  <si>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</si>
  <si>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</si>
  <si>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</si>
  <si>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</si>
  <si>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</si>
  <si>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</si>
  <si>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</si>
  <si>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</si>
  <si>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</si>
  <si>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</si>
  <si>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</si>
  <si>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</si>
  <si>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</si>
  <si>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</si>
  <si>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</si>
  <si>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</si>
  <si>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</si>
  <si>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</si>
  <si>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</si>
  <si>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</si>
  <si>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</si>
  <si>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</si>
  <si>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</si>
  <si>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</si>
  <si>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</si>
  <si>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</si>
  <si>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</si>
  <si>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</si>
  <si>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</si>
  <si>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</si>
  <si>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</si>
  <si>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</si>
  <si>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</si>
  <si>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</si>
  <si>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</si>
  <si>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</si>
  <si>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</si>
  <si>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</si>
  <si>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</si>
  <si>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</si>
  <si>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</si>
  <si>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</si>
  <si>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</si>
  <si>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</si>
  <si>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</si>
  <si>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</si>
  <si>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</si>
  <si>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</si>
  <si>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</si>
  <si>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</si>
  <si>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</si>
  <si>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</si>
  <si>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</si>
  <si>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</si>
  <si>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</si>
  <si>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</si>
  <si>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</si>
  <si>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</si>
  <si>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</si>
  <si>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</si>
  <si>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</si>
  <si>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</si>
  <si>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</si>
  <si>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</si>
  <si>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</si>
  <si>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</si>
  <si>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</si>
  <si>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</si>
  <si>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</si>
  <si>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</si>
  <si>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</si>
  <si>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</si>
  <si>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</si>
  <si>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</si>
  <si>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</si>
  <si>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</si>
  <si>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</si>
  <si>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</si>
  <si>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</si>
  <si>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</si>
  <si>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</si>
  <si>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</si>
  <si>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</si>
  <si>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</si>
  <si>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</si>
  <si>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</si>
  <si>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</si>
  <si>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</si>
  <si>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</si>
  <si>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</si>
  <si>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</si>
  <si>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</si>
  <si>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</si>
  <si>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</si>
  <si>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</si>
  <si>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</si>
  <si>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</si>
  <si>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</si>
  <si>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</si>
  <si>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</si>
  <si>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</si>
  <si>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</si>
  <si>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</si>
  <si>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</si>
  <si>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</si>
  <si>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</si>
  <si>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</si>
  <si>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</si>
  <si>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</si>
  <si>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</si>
  <si>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</si>
  <si>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</si>
  <si>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</si>
  <si>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</si>
  <si>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</si>
  <si>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</si>
  <si>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</si>
  <si>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</si>
  <si>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</si>
  <si>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</si>
  <si>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</si>
  <si>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</si>
  <si>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</si>
  <si>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</si>
  <si>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</si>
  <si>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</si>
  <si>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</si>
  <si>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</si>
  <si>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</si>
  <si>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</si>
  <si>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</si>
  <si>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</si>
  <si>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</si>
  <si>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</si>
  <si>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</si>
  <si>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</si>
  <si>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</si>
  <si>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</si>
  <si>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</si>
  <si>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</si>
  <si>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</si>
  <si>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</si>
  <si>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</si>
  <si>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</si>
  <si>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</si>
  <si>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</si>
  <si>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</si>
  <si>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</si>
  <si>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</si>
  <si>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</si>
  <si>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</si>
  <si>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</si>
  <si>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</si>
  <si>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</si>
  <si>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</si>
  <si>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</si>
  <si>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</si>
  <si>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</si>
  <si>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</si>
  <si>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</si>
  <si>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</si>
  <si>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</si>
  <si>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</si>
  <si>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</si>
  <si>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</si>
  <si>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</si>
  <si>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</si>
  <si>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</si>
  <si>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</si>
  <si>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</si>
  <si>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</si>
  <si>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</si>
  <si>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</si>
  <si>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</si>
  <si>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</si>
  <si>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</si>
  <si>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</si>
  <si>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</si>
  <si>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</si>
  <si>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</si>
  <si>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</si>
  <si>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</si>
  <si>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</si>
  <si>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</si>
  <si>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</si>
  <si>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</si>
  <si>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</si>
  <si>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</si>
  <si>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</si>
  <si>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</si>
  <si>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</si>
  <si>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</si>
  <si>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</si>
  <si>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</si>
  <si>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</si>
  <si>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</si>
  <si>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</si>
  <si>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</si>
  <si>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</si>
  <si>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</si>
  <si>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</si>
  <si>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</si>
  <si>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</si>
  <si>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</si>
  <si>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</si>
  <si>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</si>
  <si>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</si>
  <si>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</si>
  <si>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</si>
  <si>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</si>
  <si>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</si>
  <si>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</si>
  <si>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</si>
  <si>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</si>
  <si>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</si>
  <si>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</si>
  <si>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</si>
  <si>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</si>
  <si>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</si>
  <si>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</si>
  <si>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</si>
  <si>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</si>
  <si>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</si>
  <si>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</si>
  <si>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</si>
  <si>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</si>
  <si>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</si>
  <si>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</si>
  <si>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</si>
  <si>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</si>
  <si>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</si>
  <si>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</si>
  <si>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</si>
  <si>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</si>
  <si>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</si>
  <si>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</si>
  <si>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</si>
  <si>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</si>
  <si>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</si>
  <si>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</si>
  <si>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</si>
  <si>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</si>
  <si>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</si>
  <si>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</si>
  <si>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</si>
  <si>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</si>
  <si>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</si>
  <si>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</si>
  <si>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</si>
  <si>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</si>
  <si>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</si>
  <si>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</si>
  <si>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</si>
  <si>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</si>
  <si>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</si>
  <si>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</si>
  <si>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</si>
  <si>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</si>
  <si>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</si>
  <si>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</si>
  <si>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</si>
  <si>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</si>
  <si>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</si>
  <si>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</si>
  <si>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</si>
  <si>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</si>
  <si>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</si>
  <si>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</si>
  <si>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</si>
  <si>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</si>
  <si>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</si>
  <si>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</si>
  <si>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</si>
  <si>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</si>
  <si>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</si>
  <si>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</si>
  <si>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</si>
  <si>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</si>
  <si>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</si>
  <si>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</si>
  <si>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</si>
  <si>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</si>
  <si>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</si>
  <si>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</si>
  <si>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</si>
  <si>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</si>
  <si>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</si>
  <si>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</si>
  <si>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</si>
  <si>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</si>
  <si>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</si>
  <si>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</si>
  <si>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</si>
  <si>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</si>
  <si>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</si>
  <si>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</si>
  <si>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</si>
  <si>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</si>
  <si>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</si>
  <si>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</si>
  <si>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</si>
  <si>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</si>
  <si>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</si>
  <si>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</si>
  <si>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</si>
  <si>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</si>
  <si>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</si>
  <si>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</si>
  <si>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</si>
  <si>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</si>
  <si>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</si>
  <si>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</si>
  <si>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</si>
  <si>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</si>
  <si>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</si>
  <si>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</si>
  <si>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</si>
  <si>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</si>
  <si>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</si>
  <si>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</si>
  <si>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</si>
  <si>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</si>
  <si>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</si>
  <si>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</si>
  <si>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</si>
  <si>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</si>
  <si>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</si>
  <si>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</si>
  <si>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</si>
  <si>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</si>
  <si>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</si>
  <si>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</si>
  <si>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</si>
  <si>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</si>
  <si>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</si>
  <si>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</si>
  <si>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</si>
  <si>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</si>
  <si>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</si>
  <si>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</si>
  <si>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</si>
  <si>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</si>
  <si>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</si>
  <si>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</si>
  <si>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</si>
  <si>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</si>
  <si>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</si>
  <si>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</si>
  <si>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</si>
  <si>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</si>
  <si>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</si>
  <si>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</si>
  <si>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</si>
  <si>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</si>
  <si>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</si>
  <si>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</si>
  <si>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</si>
  <si>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</si>
  <si>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</si>
  <si>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</si>
  <si>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</si>
  <si>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</si>
  <si>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</si>
  <si>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</si>
  <si>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</si>
  <si>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</si>
  <si>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</si>
  <si>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</si>
  <si>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</si>
  <si>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</si>
  <si>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</si>
  <si>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</si>
  <si>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</si>
  <si>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</si>
  <si>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</si>
  <si>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</si>
  <si>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</si>
  <si>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</si>
  <si>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</si>
  <si>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</si>
  <si>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</si>
  <si>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</si>
  <si>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</si>
  <si>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</si>
  <si>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</si>
  <si>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</si>
  <si>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</si>
  <si>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</si>
  <si>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</si>
  <si>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</si>
  <si>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</si>
  <si>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</si>
  <si>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</si>
  <si>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</si>
  <si>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</si>
  <si>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</si>
  <si>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</si>
  <si>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</si>
  <si>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</si>
  <si>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</si>
  <si>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</si>
  <si>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</si>
  <si>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</si>
  <si>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</si>
  <si>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</si>
  <si>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</si>
  <si>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</si>
  <si>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</si>
  <si>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</si>
  <si>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</si>
  <si>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</si>
  <si>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</si>
  <si>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</si>
  <si>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</si>
  <si>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</si>
  <si>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</si>
  <si>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</si>
  <si>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</si>
  <si>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</si>
  <si>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</si>
  <si>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</si>
  <si>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</si>
  <si>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</si>
  <si>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</si>
  <si>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</si>
  <si>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</si>
  <si>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</si>
  <si>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</si>
  <si>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</si>
  <si>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</si>
  <si>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</si>
  <si>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</si>
  <si>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</si>
  <si>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</si>
  <si>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</si>
  <si>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</si>
  <si>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</si>
  <si>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</si>
  <si>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</si>
  <si>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</si>
  <si>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</si>
  <si>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</si>
  <si>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</si>
  <si>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</si>
  <si>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</si>
  <si>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</si>
  <si>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</si>
  <si>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</si>
  <si>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</si>
  <si>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</si>
  <si>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</si>
  <si>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</si>
  <si>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</si>
  <si>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</si>
  <si>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</si>
  <si>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</si>
  <si>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</si>
  <si>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</si>
  <si>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</si>
  <si>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</si>
  <si>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</si>
  <si>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</si>
  <si>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</si>
  <si>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</si>
  <si>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</si>
  <si>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</si>
  <si>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</si>
  <si>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</si>
  <si>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</si>
  <si>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</si>
  <si>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</si>
  <si>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</si>
  <si>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</si>
  <si>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</si>
  <si>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</si>
  <si>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</si>
  <si>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</si>
  <si>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</si>
  <si>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</si>
  <si>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</si>
  <si>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</si>
  <si>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</si>
  <si>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</si>
  <si>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</si>
  <si>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</si>
  <si>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</si>
  <si>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</si>
  <si>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</si>
  <si>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</si>
  <si>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</si>
  <si>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</si>
  <si>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</si>
  <si>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</si>
  <si>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</si>
  <si>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</si>
  <si>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</si>
  <si>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</si>
  <si>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</si>
  <si>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</si>
  <si>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</si>
  <si>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</si>
  <si>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</si>
  <si>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</si>
  <si>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</si>
  <si>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</si>
  <si>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</si>
  <si>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</si>
  <si>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</si>
  <si>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</si>
  <si>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</si>
  <si>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</si>
  <si>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</si>
  <si>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</si>
  <si>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</si>
  <si>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</si>
  <si>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</si>
  <si>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</si>
  <si>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</si>
  <si>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</si>
  <si>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</si>
  <si>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</si>
  <si>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</si>
  <si>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</si>
  <si>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</si>
  <si>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</si>
  <si>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</si>
  <si>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</si>
  <si>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</si>
  <si>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</si>
  <si>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</si>
  <si>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</si>
  <si>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</si>
  <si>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</si>
  <si>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</si>
  <si>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</si>
  <si>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</si>
  <si>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</si>
  <si>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</si>
  <si>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</si>
  <si>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</si>
  <si>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</si>
  <si>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</si>
  <si>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</si>
  <si>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</si>
  <si>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</si>
  <si>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</si>
  <si>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</si>
  <si>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</si>
  <si>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</si>
  <si>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</si>
  <si>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</si>
  <si>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</si>
  <si>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</si>
  <si>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</si>
  <si>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</si>
  <si>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</si>
  <si>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</si>
  <si>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</si>
  <si>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</si>
  <si>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</si>
  <si>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</si>
  <si>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</si>
  <si>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</si>
  <si>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</si>
  <si>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</si>
  <si>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</si>
  <si>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</si>
  <si>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</si>
  <si>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</si>
  <si>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</si>
  <si>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</si>
  <si>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</si>
  <si>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</si>
  <si>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</si>
  <si>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</si>
  <si>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</si>
  <si>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</si>
  <si>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</si>
  <si>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</si>
  <si>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</si>
  <si>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</si>
  <si>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</si>
  <si>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</si>
  <si>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</si>
  <si>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</si>
  <si>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</si>
  <si>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</si>
  <si>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</si>
  <si>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</si>
  <si>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</si>
  <si>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</si>
  <si>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</si>
  <si>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</si>
  <si>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</si>
  <si>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</si>
  <si>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</si>
  <si>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</si>
  <si>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</si>
  <si>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</si>
  <si>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</si>
  <si>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</si>
  <si>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</si>
  <si>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</si>
  <si>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</si>
  <si>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</si>
  <si>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</si>
  <si>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</si>
  <si>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</si>
  <si>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</si>
  <si>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</si>
  <si>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</si>
  <si>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</si>
  <si>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</si>
  <si>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</si>
  <si>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</si>
  <si>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</si>
  <si>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</si>
  <si>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</si>
  <si>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</si>
  <si>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</si>
  <si>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</si>
  <si>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</si>
  <si>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</si>
  <si>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</si>
  <si>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</si>
  <si>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</si>
  <si>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</si>
  <si>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</si>
  <si>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</si>
  <si>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</si>
  <si>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</si>
  <si>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</si>
  <si>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</si>
  <si>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</si>
  <si>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</si>
  <si>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</si>
  <si>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</si>
  <si>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</si>
  <si>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</si>
  <si>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</si>
  <si>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</si>
  <si>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</si>
  <si>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</si>
  <si>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</si>
  <si>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</si>
  <si>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</si>
  <si>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</si>
  <si>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</si>
  <si>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</si>
  <si>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</si>
  <si>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</si>
  <si>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</si>
  <si>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</si>
  <si>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</si>
  <si>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</si>
  <si>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</si>
  <si>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</si>
  <si>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</si>
  <si>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</si>
  <si>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</si>
  <si>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</si>
  <si>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</si>
  <si>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</si>
  <si>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</si>
  <si>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</si>
  <si>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</si>
  <si>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</si>
  <si>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</si>
  <si>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</si>
  <si>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</si>
  <si>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</si>
  <si>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</si>
  <si>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</si>
  <si>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</si>
  <si>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</si>
  <si>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</si>
  <si>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</si>
  <si>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</si>
  <si>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</si>
  <si>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</si>
  <si>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</si>
  <si>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</si>
  <si>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</si>
  <si>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</si>
  <si>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</si>
  <si>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</si>
  <si>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</si>
  <si>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</si>
  <si>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</si>
  <si>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</si>
  <si>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</si>
  <si>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</si>
  <si>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</si>
  <si>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</si>
  <si>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</si>
  <si>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</si>
  <si>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</si>
  <si>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</si>
  <si>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</si>
  <si>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</si>
  <si>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</si>
  <si>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</si>
  <si>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</si>
  <si>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</si>
  <si>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</si>
  <si>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</si>
  <si>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</si>
  <si>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</si>
  <si>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</si>
  <si>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</si>
  <si>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</si>
  <si>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</si>
  <si>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</si>
  <si>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</si>
  <si>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</si>
  <si>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</si>
  <si>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</si>
  <si>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</si>
  <si>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</si>
  <si>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</si>
  <si>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</si>
  <si>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</si>
  <si>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</si>
  <si>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</si>
  <si>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</si>
  <si>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</si>
  <si>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</si>
  <si>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</si>
  <si>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</si>
  <si>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</si>
  <si>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</si>
  <si>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</si>
  <si>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</si>
  <si>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</si>
  <si>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</si>
  <si>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</si>
  <si>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</si>
  <si>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</si>
  <si>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</si>
  <si>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</si>
  <si>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</si>
  <si>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</si>
  <si>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</si>
  <si>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</si>
  <si>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</si>
  <si>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</si>
  <si>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</si>
  <si>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</si>
  <si>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</si>
  <si>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</si>
  <si>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</si>
  <si>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</si>
  <si>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</si>
  <si>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</si>
  <si>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</si>
  <si>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</si>
  <si>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</si>
  <si>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</si>
  <si>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</si>
  <si>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</si>
  <si>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</si>
  <si>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</si>
  <si>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</si>
  <si>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</si>
  <si>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</si>
  <si>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</si>
  <si>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</si>
  <si>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</si>
  <si>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</si>
  <si>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</si>
  <si>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</si>
  <si>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</si>
  <si>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</si>
  <si>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</si>
  <si>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</si>
  <si>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</si>
  <si>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</si>
  <si>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</si>
  <si>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</si>
  <si>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</si>
  <si>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</si>
  <si>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</si>
  <si>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</si>
  <si>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</si>
  <si>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</si>
  <si>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</si>
  <si>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</si>
  <si>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</si>
  <si>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</si>
  <si>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</si>
  <si>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</si>
  <si>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</si>
  <si>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</si>
  <si>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</si>
  <si>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</si>
  <si>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</si>
  <si>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</si>
  <si>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</si>
  <si>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</si>
  <si>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</si>
  <si>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</si>
  <si>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</si>
  <si>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</si>
  <si>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</si>
  <si>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</si>
  <si>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</si>
  <si>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</si>
  <si>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</si>
  <si>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</si>
  <si>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</si>
  <si>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</si>
  <si>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</si>
  <si>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</si>
  <si>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</si>
  <si>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</si>
  <si>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</si>
  <si>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</si>
  <si>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</si>
  <si>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</si>
  <si>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</si>
  <si>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</si>
  <si>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</si>
  <si>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</si>
  <si>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</si>
  <si>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</si>
  <si>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</si>
  <si>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</si>
  <si>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</si>
  <si>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</si>
  <si>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</si>
  <si>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</si>
  <si>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</si>
  <si>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</si>
  <si>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</si>
  <si>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</si>
  <si>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</si>
  <si>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</si>
  <si>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</si>
  <si>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</si>
  <si>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</si>
  <si>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</si>
  <si>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</si>
  <si>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</si>
  <si>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</si>
  <si>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</si>
  <si>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</si>
  <si>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</si>
  <si>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</si>
  <si>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</si>
  <si>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</si>
  <si>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</si>
  <si>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</si>
  <si>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</si>
  <si>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</si>
  <si>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</si>
  <si>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</si>
  <si>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</si>
  <si>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</si>
  <si>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</si>
  <si>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</si>
  <si>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</si>
  <si>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</si>
  <si>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</si>
  <si>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</si>
  <si>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</si>
  <si>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</si>
  <si>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</si>
  <si>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</si>
  <si>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</si>
  <si>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</si>
  <si>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</si>
  <si>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</si>
  <si>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</si>
  <si>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</si>
  <si>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</si>
  <si>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</si>
  <si>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</si>
  <si>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</si>
  <si>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</si>
  <si>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</si>
  <si>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</si>
  <si>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</si>
  <si>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</si>
  <si>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</si>
  <si>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</si>
  <si>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</si>
  <si>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</si>
  <si>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</si>
  <si>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</si>
  <si>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</si>
  <si>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</si>
  <si>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</si>
  <si>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</si>
  <si>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</si>
  <si>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</si>
  <si>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</si>
  <si>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</si>
  <si>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</si>
  <si>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</si>
  <si>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</si>
  <si>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</si>
  <si>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</si>
  <si>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</si>
  <si>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</si>
  <si>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Max Cashout DSCR FUSION 70LTV</t>
  </si>
  <si>
    <t>DSCR FUSION 70 LTV</t>
  </si>
  <si>
    <t>NonQM (FL)'!$U$22, $J$3</t>
  </si>
  <si>
    <t>NonQM (FL)'!$U$22, $J$3:$J$7</t>
  </si>
  <si>
    <t>NonQM (FL)'!$U$22, $J$6:$J$7, 0</t>
  </si>
  <si>
    <t>NonQM (FL)'!$U$22,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</si>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</sst>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3">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166" fontId="95" fillId="32" borderId="30" xfId="0"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33" fillId="6" borderId="17"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5" fontId="11" fillId="19" borderId="62" xfId="1" applyNumberFormat="1" applyFont="1" applyFill="1" applyBorder="1" applyAlignment="1" applyProtection="1">
      <alignment horizontal="center" vertical="center"/>
      <protection hidden="1"/>
    </xf>
    <xf numFmtId="0" fontId="33" fillId="6" borderId="25" xfId="0"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25" fillId="23" borderId="10" xfId="2"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25" xfId="0" quotePrefix="1" applyFont="1" applyFill="1" applyBorder="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5" fontId="11" fillId="19" borderId="7" xfId="1" applyNumberFormat="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0" fontId="33" fillId="6" borderId="23" xfId="0"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17" fillId="18" borderId="10" xfId="2" applyFont="1" applyFill="1" applyBorder="1" applyAlignment="1" applyProtection="1">
      <alignment horizont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wrapText="1"/>
      <protection hidden="1"/>
    </xf>
    <xf numFmtId="0" fontId="79" fillId="44" borderId="0" xfId="2" applyFont="1" applyFill="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6" fontId="80" fillId="0" borderId="95" xfId="0" applyNumberFormat="1" applyFont="1" applyBorder="1" applyAlignment="1" applyProtection="1">
      <alignment horizontal="center" vertical="center"/>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7"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37" fillId="31"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29" borderId="20" xfId="1" applyNumberFormat="1" applyFont="1" applyFill="1" applyBorder="1" applyAlignment="1" applyProtection="1">
      <alignment horizontal="center" vertical="center"/>
      <protection hidden="1"/>
    </xf>
    <xf numFmtId="165" fontId="11" fillId="29" borderId="27" xfId="1" applyNumberFormat="1" applyFont="1" applyFill="1" applyBorder="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119152</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470398</xdr:colOff>
      <xdr:row>4</xdr:row>
      <xdr:rowOff>47625</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C1" zoomScale="85" zoomScaleNormal="85" workbookViewId="0">
      <selection activeCell="AM53" sqref="AM53:AM54"/>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776</v>
      </c>
      <c r="H5" s="119" t="s">
        <v>112</v>
      </c>
      <c r="I5" s="119"/>
      <c r="J5" t="s">
        <v>75</v>
      </c>
      <c r="K5" s="119" t="s">
        <v>100</v>
      </c>
      <c r="L5" s="119" t="s">
        <v>229</v>
      </c>
      <c r="M5" s="119" t="s">
        <v>230</v>
      </c>
      <c r="N5" s="119" t="s">
        <v>106</v>
      </c>
      <c r="O5" s="475"/>
      <c r="P5" s="475" t="s">
        <v>231</v>
      </c>
      <c r="Q5" s="119" t="s">
        <v>232</v>
      </c>
      <c r="R5" s="128" t="s">
        <v>233</v>
      </c>
      <c r="S5" s="126"/>
      <c r="T5" s="119" t="s">
        <v>894</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777</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32" t="s">
        <v>933</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32" t="s">
        <v>934</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820</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32" t="s">
        <v>935</v>
      </c>
      <c r="W30"/>
      <c r="X30"/>
      <c r="Y30"/>
      <c r="Z30"/>
      <c r="AA30"/>
      <c r="AB30"/>
      <c r="AC30" s="121" t="s">
        <v>227</v>
      </c>
    </row>
    <row r="31" spans="1:29" x14ac:dyDescent="0.25">
      <c r="A31" s="119"/>
      <c r="B31" s="119"/>
      <c r="S31"/>
      <c r="U31"/>
      <c r="V31" s="1032" t="s">
        <v>936</v>
      </c>
      <c r="W31"/>
      <c r="X31"/>
      <c r="Y31"/>
      <c r="Z31"/>
      <c r="AA31"/>
      <c r="AB31"/>
      <c r="AC31" s="121" t="s">
        <v>227</v>
      </c>
    </row>
    <row r="32" spans="1:29" x14ac:dyDescent="0.25">
      <c r="A32" s="119"/>
      <c r="B32" s="119"/>
      <c r="S32"/>
      <c r="U32"/>
      <c r="V32" s="1032" t="s">
        <v>936</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5">
      <c r="A39" s="130" t="s">
        <v>157</v>
      </c>
      <c r="B39" s="573"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3"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3"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3"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3"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4"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4"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3"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4"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3"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8"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3"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8"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3"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3"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8"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4"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4"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8" t="s">
        <v>63</v>
      </c>
      <c r="AH56" s="599"/>
      <c r="AI56" s="599"/>
      <c r="AJ56"/>
      <c r="AK56"/>
      <c r="AL56"/>
      <c r="AM56"/>
      <c r="AN56"/>
      <c r="AO56" s="121" t="s">
        <v>227</v>
      </c>
      <c r="AP56" s="121"/>
    </row>
    <row r="57" spans="1:42" x14ac:dyDescent="0.25">
      <c r="A57" s="143" t="s">
        <v>442</v>
      </c>
      <c r="B57" s="574"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4"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3"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3"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3"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4"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4"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4"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5"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8" t="s">
        <v>521</v>
      </c>
      <c r="AH65" s="599"/>
      <c r="AI65" s="599"/>
      <c r="AJ65"/>
      <c r="AK65"/>
      <c r="AL65"/>
      <c r="AM65"/>
      <c r="AN65"/>
      <c r="AO65" s="121"/>
      <c r="AP65" s="121"/>
    </row>
    <row r="66" spans="1:42" x14ac:dyDescent="0.25">
      <c r="A66" s="118" t="s">
        <v>522</v>
      </c>
      <c r="B66" s="574"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6">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819</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21" t="s">
        <v>618</v>
      </c>
      <c r="C80" s="722"/>
      <c r="D80" s="722"/>
      <c r="E80" s="722"/>
      <c r="F80"/>
      <c r="I80" s="713" t="s">
        <v>618</v>
      </c>
      <c r="J80" s="714"/>
      <c r="K80" s="714"/>
      <c r="L80" s="715"/>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5.875</v>
      </c>
      <c r="C82" s="157">
        <f>'NonQM (FL)'!C11</f>
        <v>96.663000000000025</v>
      </c>
      <c r="D82" s="157">
        <f>'NonQM (FL)'!D11</f>
        <v>96.363000000000028</v>
      </c>
      <c r="E82" s="158"/>
      <c r="F82" s="158"/>
      <c r="G82" s="159" t="e">
        <f>SUM('NonQM (FL)'!V12:V35)+B67</f>
        <v>#N/A</v>
      </c>
      <c r="H82" s="160">
        <v>1</v>
      </c>
      <c r="I82" s="161">
        <f t="shared" ref="I82:I124" si="0">B82</f>
        <v>5.875</v>
      </c>
      <c r="J82" s="162" t="e">
        <f t="shared" ref="J82:J124" si="1">C82+$G$82</f>
        <v>#N/A</v>
      </c>
      <c r="K82" s="162" t="e">
        <f t="shared" ref="K82:K124" si="2">D82+$G$82</f>
        <v>#N/A</v>
      </c>
      <c r="L82" s="163"/>
      <c r="M82" s="163"/>
      <c r="N82" s="159" cm="1">
        <f t="array" ref="N82:N124">I82:I124</f>
        <v>5.875</v>
      </c>
      <c r="Q82" s="593"/>
      <c r="R82" s="593"/>
      <c r="S82" s="594"/>
      <c r="AH82" s="121"/>
      <c r="AJ82" s="121"/>
      <c r="AK82" s="121"/>
      <c r="AL82" s="121"/>
      <c r="AM82" s="121"/>
      <c r="AN82" s="121"/>
      <c r="AO82" s="121"/>
      <c r="AP82" s="121"/>
    </row>
    <row r="83" spans="2:48" x14ac:dyDescent="0.25">
      <c r="B83" s="164">
        <f>'NonQM (FL)'!B12</f>
        <v>5.9989999999999997</v>
      </c>
      <c r="C83" s="165">
        <f>'NonQM (FL)'!C12</f>
        <v>97.413000000000011</v>
      </c>
      <c r="D83" s="165">
        <f>'NonQM (FL)'!D12</f>
        <v>97.113000000000028</v>
      </c>
      <c r="E83" s="166"/>
      <c r="F83" s="166"/>
      <c r="G83" s="109" t="s">
        <v>625</v>
      </c>
      <c r="H83" s="160">
        <v>2</v>
      </c>
      <c r="I83" s="167">
        <f t="shared" si="0"/>
        <v>5.9989999999999997</v>
      </c>
      <c r="J83" s="168" t="e">
        <f t="shared" si="1"/>
        <v>#N/A</v>
      </c>
      <c r="K83" s="168" t="e">
        <f t="shared" si="2"/>
        <v>#N/A</v>
      </c>
      <c r="L83" s="169"/>
      <c r="M83" s="169"/>
      <c r="N83" s="159">
        <v>5.9989999999999997</v>
      </c>
      <c r="R83" s="170"/>
      <c r="S83" s="119"/>
      <c r="AH83" s="121"/>
      <c r="AJ83" s="121"/>
      <c r="AK83" s="121"/>
      <c r="AL83" s="121"/>
      <c r="AM83" s="121"/>
      <c r="AN83" s="121"/>
      <c r="AO83" s="121"/>
      <c r="AP83" s="121"/>
    </row>
    <row r="84" spans="2:48" x14ac:dyDescent="0.25">
      <c r="B84" s="164">
        <f>'NonQM (FL)'!B13</f>
        <v>6.125</v>
      </c>
      <c r="C84" s="165">
        <f>'NonQM (FL)'!C13</f>
        <v>98.037500000000009</v>
      </c>
      <c r="D84" s="165">
        <f>'NonQM (FL)'!D13</f>
        <v>97.737500000000026</v>
      </c>
      <c r="E84" s="166"/>
      <c r="F84" s="166"/>
      <c r="G84" s="109" t="s">
        <v>626</v>
      </c>
      <c r="H84" s="160">
        <v>3</v>
      </c>
      <c r="I84" s="167">
        <f t="shared" si="0"/>
        <v>6.125</v>
      </c>
      <c r="J84" s="168" t="e">
        <f t="shared" si="1"/>
        <v>#N/A</v>
      </c>
      <c r="K84" s="168" t="e">
        <f t="shared" si="2"/>
        <v>#N/A</v>
      </c>
      <c r="L84" s="169"/>
      <c r="M84" s="169"/>
      <c r="N84" s="159">
        <v>6.125</v>
      </c>
      <c r="R84" s="170"/>
      <c r="S84" s="119"/>
      <c r="AG84" s="596" t="s">
        <v>654</v>
      </c>
      <c r="AH84" s="595"/>
      <c r="AI84" s="597"/>
      <c r="AJ84" s="121"/>
      <c r="AK84" s="121"/>
      <c r="AL84" s="121"/>
      <c r="AM84" s="121"/>
      <c r="AN84" s="121"/>
      <c r="AO84" s="121"/>
      <c r="AP84" s="121"/>
    </row>
    <row r="85" spans="2:48" ht="15.75" x14ac:dyDescent="0.25">
      <c r="B85" s="164">
        <f>'NonQM (FL)'!B14</f>
        <v>6.25</v>
      </c>
      <c r="C85" s="165">
        <f>'NonQM (FL)'!C14</f>
        <v>98.575500000000005</v>
      </c>
      <c r="D85" s="165">
        <f>'NonQM (FL)'!D14</f>
        <v>98.275500000000022</v>
      </c>
      <c r="E85" s="166"/>
      <c r="F85" s="166"/>
      <c r="G85" s="159" t="e">
        <f>'NonQM (FL)'!V40</f>
        <v>#N/A</v>
      </c>
      <c r="H85" s="160">
        <v>4</v>
      </c>
      <c r="I85" s="167">
        <f t="shared" si="0"/>
        <v>6.25</v>
      </c>
      <c r="J85" s="168" t="e">
        <f t="shared" si="1"/>
        <v>#N/A</v>
      </c>
      <c r="K85" s="168" t="e">
        <f t="shared" si="2"/>
        <v>#N/A</v>
      </c>
      <c r="L85" s="169"/>
      <c r="M85" s="169"/>
      <c r="N85" s="159">
        <v>6.25</v>
      </c>
      <c r="P85" s="365"/>
      <c r="U85" s="595"/>
      <c r="V85" s="595"/>
      <c r="W85" s="595"/>
      <c r="Y85" s="139" t="s">
        <v>627</v>
      </c>
      <c r="Z85" s="595"/>
      <c r="AA85" s="595"/>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6.375</v>
      </c>
      <c r="C86" s="165">
        <f>'NonQM (FL)'!C15</f>
        <v>99.075500000000005</v>
      </c>
      <c r="D86" s="165">
        <f>'NonQM (FL)'!D15</f>
        <v>98.775500000000022</v>
      </c>
      <c r="E86" s="166"/>
      <c r="F86" s="166"/>
      <c r="H86" s="160">
        <v>5</v>
      </c>
      <c r="I86" s="167">
        <f t="shared" si="0"/>
        <v>6.375</v>
      </c>
      <c r="J86" s="168" t="e">
        <f t="shared" si="1"/>
        <v>#N/A</v>
      </c>
      <c r="K86" s="168" t="e">
        <f t="shared" si="2"/>
        <v>#N/A</v>
      </c>
      <c r="L86" s="169"/>
      <c r="M86" s="169"/>
      <c r="N86" s="159">
        <v>6.375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6.4989999999999997</v>
      </c>
      <c r="C87" s="165">
        <f>'NonQM (FL)'!C16</f>
        <v>99.512500000000017</v>
      </c>
      <c r="D87" s="165">
        <f>'NonQM (FL)'!D16</f>
        <v>99.21250000000002</v>
      </c>
      <c r="E87" s="166"/>
      <c r="F87" s="166"/>
      <c r="H87" s="160">
        <v>6</v>
      </c>
      <c r="I87" s="167">
        <f t="shared" si="0"/>
        <v>6.4989999999999997</v>
      </c>
      <c r="J87" s="168" t="e">
        <f t="shared" si="1"/>
        <v>#N/A</v>
      </c>
      <c r="K87" s="168" t="e">
        <f t="shared" si="2"/>
        <v>#N/A</v>
      </c>
      <c r="L87" s="169"/>
      <c r="M87" s="169"/>
      <c r="N87" s="159">
        <v>6.4989999999999997</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6.625</v>
      </c>
      <c r="C88" s="165">
        <f>'NonQM (FL)'!C17</f>
        <v>99.910500000000013</v>
      </c>
      <c r="D88" s="165">
        <f>'NonQM (FL)'!D17</f>
        <v>99.610500000000016</v>
      </c>
      <c r="E88" s="166"/>
      <c r="F88" s="166"/>
      <c r="H88" s="160">
        <v>7</v>
      </c>
      <c r="I88" s="167">
        <f t="shared" si="0"/>
        <v>6.625</v>
      </c>
      <c r="J88" s="168" t="e">
        <f t="shared" si="1"/>
        <v>#N/A</v>
      </c>
      <c r="K88" s="168" t="e">
        <f t="shared" si="2"/>
        <v>#N/A</v>
      </c>
      <c r="L88" s="169"/>
      <c r="M88" s="169"/>
      <c r="N88" s="159">
        <v>6.625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6.75</v>
      </c>
      <c r="C89" s="165">
        <f>'NonQM (FL)'!C18</f>
        <v>100.30150000000002</v>
      </c>
      <c r="D89" s="165">
        <f>'NonQM (FL)'!D18</f>
        <v>100.00150000000002</v>
      </c>
      <c r="E89" s="166"/>
      <c r="F89" s="166"/>
      <c r="G89" s="109" t="str">
        <f>'NonQM (FL)'!U17</f>
        <v>Choose a Selection</v>
      </c>
      <c r="H89" s="160">
        <v>8</v>
      </c>
      <c r="I89" s="167">
        <f t="shared" si="0"/>
        <v>6.75</v>
      </c>
      <c r="J89" s="168" t="e">
        <f t="shared" si="1"/>
        <v>#N/A</v>
      </c>
      <c r="K89" s="168" t="e">
        <f t="shared" si="2"/>
        <v>#N/A</v>
      </c>
      <c r="L89" s="169"/>
      <c r="M89" s="169"/>
      <c r="N89" s="159">
        <v>6.75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6.875</v>
      </c>
      <c r="C90" s="165">
        <f>'NonQM (FL)'!C19</f>
        <v>100.68450000000001</v>
      </c>
      <c r="D90" s="165">
        <f>'NonQM (FL)'!D19</f>
        <v>100.38450000000002</v>
      </c>
      <c r="E90" s="166"/>
      <c r="F90" s="166"/>
      <c r="G90" s="109" t="e">
        <f>#REF!</f>
        <v>#REF!</v>
      </c>
      <c r="H90" s="160">
        <v>9</v>
      </c>
      <c r="I90" s="167">
        <f t="shared" si="0"/>
        <v>6.875</v>
      </c>
      <c r="J90" s="168" t="e">
        <f t="shared" si="1"/>
        <v>#N/A</v>
      </c>
      <c r="K90" s="168" t="e">
        <f t="shared" si="2"/>
        <v>#N/A</v>
      </c>
      <c r="L90" s="169"/>
      <c r="M90" s="169"/>
      <c r="N90" s="159">
        <v>6.875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6.9989999999999997</v>
      </c>
      <c r="C91" s="165">
        <f>'NonQM (FL)'!C20</f>
        <v>101.05950000000001</v>
      </c>
      <c r="D91" s="165">
        <f>'NonQM (FL)'!D20</f>
        <v>100.75950000000002</v>
      </c>
      <c r="E91" s="166"/>
      <c r="F91" s="166"/>
      <c r="G91" s="109" t="e">
        <f>IF(#REF!="DSCR 5-8", "DSCR 5-8", "")</f>
        <v>#REF!</v>
      </c>
      <c r="H91" s="160">
        <v>10</v>
      </c>
      <c r="I91" s="167">
        <f t="shared" si="0"/>
        <v>6.9989999999999997</v>
      </c>
      <c r="J91" s="168" t="e">
        <f t="shared" si="1"/>
        <v>#N/A</v>
      </c>
      <c r="K91" s="168" t="e">
        <f t="shared" si="2"/>
        <v>#N/A</v>
      </c>
      <c r="L91" s="169"/>
      <c r="M91" s="169"/>
      <c r="N91" s="159">
        <v>6.9989999999999997</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7.125</v>
      </c>
      <c r="C92" s="165">
        <f>'NonQM (FL)'!C21</f>
        <v>101.42650000000002</v>
      </c>
      <c r="D92" s="165">
        <f>'NonQM (FL)'!D21</f>
        <v>101.12650000000002</v>
      </c>
      <c r="E92" s="166"/>
      <c r="F92" s="166"/>
      <c r="H92" s="160">
        <v>11</v>
      </c>
      <c r="I92" s="167">
        <f t="shared" si="0"/>
        <v>7.125</v>
      </c>
      <c r="J92" s="168" t="e">
        <f t="shared" si="1"/>
        <v>#N/A</v>
      </c>
      <c r="K92" s="168" t="e">
        <f t="shared" si="2"/>
        <v>#N/A</v>
      </c>
      <c r="L92" s="169"/>
      <c r="M92" s="169"/>
      <c r="N92" s="159">
        <v>7.125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7.25</v>
      </c>
      <c r="C93" s="165">
        <f>'NonQM (FL)'!C22</f>
        <v>101.78550000000001</v>
      </c>
      <c r="D93" s="165">
        <f>'NonQM (FL)'!D22</f>
        <v>101.48550000000002</v>
      </c>
      <c r="E93" s="166"/>
      <c r="F93" s="166"/>
      <c r="H93" s="160">
        <v>12</v>
      </c>
      <c r="I93" s="167">
        <f t="shared" si="0"/>
        <v>7.25</v>
      </c>
      <c r="J93" s="168" t="e">
        <f t="shared" si="1"/>
        <v>#N/A</v>
      </c>
      <c r="K93" s="168" t="e">
        <f t="shared" si="2"/>
        <v>#N/A</v>
      </c>
      <c r="L93" s="169"/>
      <c r="M93" s="169"/>
      <c r="N93" s="159">
        <v>7.25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7.375</v>
      </c>
      <c r="C94" s="165">
        <f>'NonQM (FL)'!C23</f>
        <v>102.13750000000002</v>
      </c>
      <c r="D94" s="165">
        <f>'NonQM (FL)'!D23</f>
        <v>101.83750000000002</v>
      </c>
      <c r="E94" s="166"/>
      <c r="F94" s="166"/>
      <c r="G94" s="159" t="e">
        <f>SUM(#REF!)+B67</f>
        <v>#REF!</v>
      </c>
      <c r="H94" s="160">
        <v>13</v>
      </c>
      <c r="I94" s="167">
        <f t="shared" si="0"/>
        <v>7.375</v>
      </c>
      <c r="J94" s="168" t="e">
        <f t="shared" si="1"/>
        <v>#N/A</v>
      </c>
      <c r="K94" s="168" t="e">
        <f t="shared" si="2"/>
        <v>#N/A</v>
      </c>
      <c r="L94" s="169"/>
      <c r="M94" s="169"/>
      <c r="N94" s="159">
        <v>7.375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7.4989999999999997</v>
      </c>
      <c r="C95" s="165">
        <f>'NonQM (FL)'!C24</f>
        <v>102.48150000000001</v>
      </c>
      <c r="D95" s="165">
        <f>'NonQM (FL)'!D24</f>
        <v>102.18150000000001</v>
      </c>
      <c r="E95" s="166"/>
      <c r="F95" s="166"/>
      <c r="H95" s="160">
        <v>14</v>
      </c>
      <c r="I95" s="167">
        <f t="shared" si="0"/>
        <v>7.4989999999999997</v>
      </c>
      <c r="J95" s="168" t="e">
        <f t="shared" si="1"/>
        <v>#N/A</v>
      </c>
      <c r="K95" s="168" t="e">
        <f t="shared" si="2"/>
        <v>#N/A</v>
      </c>
      <c r="L95" s="169"/>
      <c r="M95" s="169"/>
      <c r="N95" s="159">
        <v>7.4989999999999997</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7.625</v>
      </c>
      <c r="C96" s="165">
        <f>'NonQM (FL)'!C25</f>
        <v>102.81750000000002</v>
      </c>
      <c r="D96" s="165">
        <f>'NonQM (FL)'!D25</f>
        <v>102.51750000000003</v>
      </c>
      <c r="E96" s="166"/>
      <c r="F96" s="166"/>
      <c r="H96" s="160">
        <v>15</v>
      </c>
      <c r="I96" s="167">
        <f t="shared" si="0"/>
        <v>7.625</v>
      </c>
      <c r="J96" s="168" t="e">
        <f t="shared" si="1"/>
        <v>#N/A</v>
      </c>
      <c r="K96" s="168" t="e">
        <f t="shared" si="2"/>
        <v>#N/A</v>
      </c>
      <c r="L96" s="169"/>
      <c r="M96" s="169"/>
      <c r="N96" s="159">
        <v>7.625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7.75</v>
      </c>
      <c r="C97" s="165">
        <f>'NonQM (FL)'!C26</f>
        <v>103.14550000000001</v>
      </c>
      <c r="D97" s="165">
        <f>'NonQM (FL)'!D26</f>
        <v>102.84550000000002</v>
      </c>
      <c r="E97" s="166"/>
      <c r="F97" s="166"/>
      <c r="G97" s="159"/>
      <c r="H97" s="160">
        <v>16</v>
      </c>
      <c r="I97" s="167">
        <f t="shared" si="0"/>
        <v>7.75</v>
      </c>
      <c r="J97" s="168" t="e">
        <f t="shared" si="1"/>
        <v>#N/A</v>
      </c>
      <c r="K97" s="168" t="e">
        <f t="shared" si="2"/>
        <v>#N/A</v>
      </c>
      <c r="L97" s="169"/>
      <c r="M97" s="169"/>
      <c r="N97" s="159">
        <v>7.75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7.875</v>
      </c>
      <c r="C98" s="165">
        <f>'NonQM (FL)'!C27</f>
        <v>103.46550000000002</v>
      </c>
      <c r="D98" s="165">
        <f>'NonQM (FL)'!D27</f>
        <v>103.16550000000002</v>
      </c>
      <c r="E98" s="166"/>
      <c r="F98" s="166"/>
      <c r="G98" s="159"/>
      <c r="H98" s="160">
        <v>17</v>
      </c>
      <c r="I98" s="167">
        <f t="shared" si="0"/>
        <v>7.875</v>
      </c>
      <c r="J98" s="168" t="e">
        <f t="shared" si="1"/>
        <v>#N/A</v>
      </c>
      <c r="K98" s="168" t="e">
        <f t="shared" si="2"/>
        <v>#N/A</v>
      </c>
      <c r="L98" s="169"/>
      <c r="M98" s="169"/>
      <c r="N98" s="159">
        <v>7.875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7.9989999999999997</v>
      </c>
      <c r="C99" s="165">
        <f>'NonQM (FL)'!C28</f>
        <v>103.74650000000001</v>
      </c>
      <c r="D99" s="165">
        <f>'NonQM (FL)'!D28</f>
        <v>103.44650000000001</v>
      </c>
      <c r="E99" s="166"/>
      <c r="F99" s="166"/>
      <c r="H99" s="160">
        <v>18</v>
      </c>
      <c r="I99" s="172">
        <f t="shared" si="0"/>
        <v>7.9989999999999997</v>
      </c>
      <c r="J99" s="173" t="e">
        <f t="shared" si="1"/>
        <v>#N/A</v>
      </c>
      <c r="K99" s="173" t="e">
        <f t="shared" si="2"/>
        <v>#N/A</v>
      </c>
      <c r="L99" s="174"/>
      <c r="M99" s="174"/>
      <c r="N99" s="159">
        <v>7.9989999999999997</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8.125</v>
      </c>
      <c r="C100" s="165">
        <f>'NonQM (FL)'!C29</f>
        <v>103.99650000000001</v>
      </c>
      <c r="D100" s="165">
        <f>'NonQM (FL)'!D29</f>
        <v>103.69650000000001</v>
      </c>
      <c r="E100" s="166"/>
      <c r="F100" s="166"/>
      <c r="H100" s="160">
        <v>19</v>
      </c>
      <c r="I100" s="172">
        <f t="shared" si="0"/>
        <v>8.125</v>
      </c>
      <c r="J100" s="173" t="e">
        <f t="shared" si="1"/>
        <v>#N/A</v>
      </c>
      <c r="K100" s="173" t="e">
        <f t="shared" si="2"/>
        <v>#N/A</v>
      </c>
      <c r="L100" s="174"/>
      <c r="M100" s="174"/>
      <c r="N100" s="159">
        <v>8.125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8.25</v>
      </c>
      <c r="C101" s="165">
        <f>'NonQM (FL)'!C30</f>
        <v>104.24650000000001</v>
      </c>
      <c r="D101" s="165">
        <f>'NonQM (FL)'!D30</f>
        <v>103.94650000000001</v>
      </c>
      <c r="E101" s="166"/>
      <c r="F101" s="166"/>
      <c r="H101" s="160">
        <v>20</v>
      </c>
      <c r="I101" s="167">
        <f t="shared" si="0"/>
        <v>8.25</v>
      </c>
      <c r="J101" s="168" t="e">
        <f t="shared" si="1"/>
        <v>#N/A</v>
      </c>
      <c r="K101" s="168" t="e">
        <f t="shared" si="2"/>
        <v>#N/A</v>
      </c>
      <c r="L101" s="169"/>
      <c r="M101" s="169"/>
      <c r="N101" s="159">
        <v>8.25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8.375</v>
      </c>
      <c r="C102" s="165">
        <f>'NonQM (FL)'!C31</f>
        <v>104.49650000000001</v>
      </c>
      <c r="D102" s="165">
        <f>'NonQM (FL)'!D31</f>
        <v>104.19650000000001</v>
      </c>
      <c r="E102" s="166"/>
      <c r="F102" s="166"/>
      <c r="H102" s="160">
        <v>21</v>
      </c>
      <c r="I102" s="167">
        <f t="shared" si="0"/>
        <v>8.375</v>
      </c>
      <c r="J102" s="168" t="e">
        <f t="shared" si="1"/>
        <v>#N/A</v>
      </c>
      <c r="K102" s="168" t="e">
        <f t="shared" si="2"/>
        <v>#N/A</v>
      </c>
      <c r="L102" s="169"/>
      <c r="M102" s="169"/>
      <c r="N102" s="159">
        <v>8.375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8.4990000000000006</v>
      </c>
      <c r="C103" s="165">
        <f>'NonQM (FL)'!C32</f>
        <v>104.74650000000001</v>
      </c>
      <c r="D103" s="165">
        <f>'NonQM (FL)'!D32</f>
        <v>104.44650000000001</v>
      </c>
      <c r="E103" s="166"/>
      <c r="F103" s="166"/>
      <c r="H103" s="160">
        <v>22</v>
      </c>
      <c r="I103" s="167">
        <f t="shared" si="0"/>
        <v>8.4990000000000006</v>
      </c>
      <c r="J103" s="168" t="e">
        <f t="shared" si="1"/>
        <v>#N/A</v>
      </c>
      <c r="K103" s="168" t="e">
        <f t="shared" si="2"/>
        <v>#N/A</v>
      </c>
      <c r="L103" s="169"/>
      <c r="M103" s="169"/>
      <c r="N103" s="159">
        <v>8.4990000000000006</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8.625</v>
      </c>
      <c r="C104" s="165">
        <f>'NonQM (FL)'!C33</f>
        <v>104.99650000000001</v>
      </c>
      <c r="D104" s="165">
        <f>'NonQM (FL)'!D33</f>
        <v>104.69650000000001</v>
      </c>
      <c r="E104" s="166"/>
      <c r="F104" s="166"/>
      <c r="H104" s="160">
        <v>23</v>
      </c>
      <c r="I104" s="167">
        <f t="shared" si="0"/>
        <v>8.625</v>
      </c>
      <c r="J104" s="168" t="e">
        <f t="shared" si="1"/>
        <v>#N/A</v>
      </c>
      <c r="K104" s="168" t="e">
        <f t="shared" si="2"/>
        <v>#N/A</v>
      </c>
      <c r="L104" s="169"/>
      <c r="M104" s="169"/>
      <c r="N104" s="159">
        <v>8.625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8.75</v>
      </c>
      <c r="C105" s="165">
        <f>'NonQM (FL)'!C34</f>
        <v>105.18450000000001</v>
      </c>
      <c r="D105" s="165">
        <f>'NonQM (FL)'!D34</f>
        <v>104.88450000000002</v>
      </c>
      <c r="E105" s="166"/>
      <c r="F105" s="166"/>
      <c r="H105" s="160">
        <v>24</v>
      </c>
      <c r="I105" s="167">
        <f t="shared" si="0"/>
        <v>8.75</v>
      </c>
      <c r="J105" s="168" t="e">
        <f t="shared" si="1"/>
        <v>#N/A</v>
      </c>
      <c r="K105" s="168" t="e">
        <f t="shared" si="2"/>
        <v>#N/A</v>
      </c>
      <c r="L105" s="169"/>
      <c r="M105" s="169"/>
      <c r="N105" s="159">
        <v>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8.875</v>
      </c>
      <c r="C106" s="165">
        <f>'NonQM (FL)'!C35</f>
        <v>105.37150000000001</v>
      </c>
      <c r="D106" s="165">
        <f>'NonQM (FL)'!D35</f>
        <v>105.07150000000001</v>
      </c>
      <c r="E106" s="166"/>
      <c r="F106" s="166"/>
      <c r="H106" s="160">
        <v>25</v>
      </c>
      <c r="I106" s="167">
        <f t="shared" si="0"/>
        <v>8.875</v>
      </c>
      <c r="J106" s="168" t="e">
        <f t="shared" si="1"/>
        <v>#N/A</v>
      </c>
      <c r="K106" s="168" t="e">
        <f t="shared" si="2"/>
        <v>#N/A</v>
      </c>
      <c r="L106" s="169"/>
      <c r="M106" s="169"/>
      <c r="N106" s="159">
        <v>8.875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8.9990000000000006</v>
      </c>
      <c r="C107" s="165">
        <f>'NonQM (FL)'!C36</f>
        <v>105.55950000000001</v>
      </c>
      <c r="D107" s="165">
        <f>'NonQM (FL)'!D36</f>
        <v>105.25950000000002</v>
      </c>
      <c r="E107" s="166"/>
      <c r="F107" s="166"/>
      <c r="H107" s="160">
        <v>26</v>
      </c>
      <c r="I107" s="167">
        <f t="shared" si="0"/>
        <v>8.9990000000000006</v>
      </c>
      <c r="J107" s="168" t="e">
        <f t="shared" si="1"/>
        <v>#N/A</v>
      </c>
      <c r="K107" s="168" t="e">
        <f t="shared" si="2"/>
        <v>#N/A</v>
      </c>
      <c r="L107" s="169"/>
      <c r="M107" s="169"/>
      <c r="N107" s="159">
        <v>8.9990000000000006</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9.125</v>
      </c>
      <c r="C108" s="165">
        <f>'NonQM (FL)'!C37</f>
        <v>105.74650000000001</v>
      </c>
      <c r="D108" s="165">
        <f>'NonQM (FL)'!D37</f>
        <v>105.44650000000001</v>
      </c>
      <c r="E108" s="166"/>
      <c r="F108" s="166"/>
      <c r="H108" s="160">
        <v>27</v>
      </c>
      <c r="I108" s="167">
        <f t="shared" si="0"/>
        <v>9.125</v>
      </c>
      <c r="J108" s="168" t="e">
        <f t="shared" si="1"/>
        <v>#N/A</v>
      </c>
      <c r="K108" s="168" t="e">
        <f t="shared" si="2"/>
        <v>#N/A</v>
      </c>
      <c r="L108" s="169"/>
      <c r="M108" s="169"/>
      <c r="N108" s="159">
        <v>9.125</v>
      </c>
      <c r="Y108" s="109" t="s">
        <v>272</v>
      </c>
      <c r="Z108" s="170" t="str">
        <f>IF(AND(
   ISNUMBER(MATCH('NonQM (FL)'!$U$12, $A$8, 0)),
   ISNUMBER(MATCH('NonQM (FL)'!$U$11, $B$8:$B$11, 0)),
   ISNUMBER(MATCH('NonQM (FL)'!$U$15, $D$18, 0)),
   ISNUMBER(MATCH('NonQM (FL)'!$U$22, $J$3:$J$5, 0)),
   ISNUMBER(MATCH('NonQM (FL)'!$U$21, $G$8, 0)),
   'NonQM (FL)'!$U$13 = $C$4
), NA(), "")</f>
        <v/>
      </c>
      <c r="AA108" s="109" t="s">
        <v>928</v>
      </c>
      <c r="AB108"/>
      <c r="AC108"/>
      <c r="AD108"/>
      <c r="AE108"/>
      <c r="AF108"/>
      <c r="AG108"/>
      <c r="AH108"/>
      <c r="AI108"/>
      <c r="AJ108"/>
      <c r="AK108"/>
      <c r="AL108"/>
      <c r="AM108"/>
      <c r="AN108"/>
    </row>
    <row r="109" spans="2:48" x14ac:dyDescent="0.25">
      <c r="B109" s="164">
        <f>'NonQM (FL)'!B38</f>
        <v>9.25</v>
      </c>
      <c r="C109" s="165">
        <f>'NonQM (FL)'!C38</f>
        <v>105.93450000000001</v>
      </c>
      <c r="D109" s="165">
        <f>'NonQM (FL)'!D38</f>
        <v>105.63450000000002</v>
      </c>
      <c r="E109" s="166"/>
      <c r="F109" s="166"/>
      <c r="H109" s="160">
        <v>28</v>
      </c>
      <c r="I109" s="167">
        <f t="shared" si="0"/>
        <v>9.25</v>
      </c>
      <c r="J109" s="168" t="e">
        <f t="shared" si="1"/>
        <v>#N/A</v>
      </c>
      <c r="K109" s="168" t="e">
        <f t="shared" si="2"/>
        <v>#N/A</v>
      </c>
      <c r="L109" s="169"/>
      <c r="M109" s="169"/>
      <c r="N109" s="159">
        <v>9.25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9.375</v>
      </c>
      <c r="C110" s="165">
        <f>'NonQM (FL)'!C39</f>
        <v>106.12150000000001</v>
      </c>
      <c r="D110" s="165">
        <f>'NonQM (FL)'!D39</f>
        <v>105.82150000000001</v>
      </c>
      <c r="E110" s="166"/>
      <c r="F110" s="166"/>
      <c r="H110" s="160">
        <v>29</v>
      </c>
      <c r="I110" s="167">
        <f t="shared" si="0"/>
        <v>9.375</v>
      </c>
      <c r="J110" s="168" t="e">
        <f t="shared" si="1"/>
        <v>#N/A</v>
      </c>
      <c r="K110" s="168" t="e">
        <f t="shared" si="2"/>
        <v>#N/A</v>
      </c>
      <c r="L110" s="169"/>
      <c r="M110" s="169"/>
      <c r="N110" s="159">
        <v>9.375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9.4990000000000006</v>
      </c>
      <c r="C111" s="165">
        <f>'NonQM (FL)'!C40</f>
        <v>106.30950000000001</v>
      </c>
      <c r="D111" s="165">
        <f>'NonQM (FL)'!D40</f>
        <v>106.00950000000002</v>
      </c>
      <c r="E111" s="166"/>
      <c r="F111" s="166"/>
      <c r="H111" s="160">
        <v>30</v>
      </c>
      <c r="I111" s="167">
        <f t="shared" si="0"/>
        <v>9.4990000000000006</v>
      </c>
      <c r="J111" s="168" t="e">
        <f t="shared" si="1"/>
        <v>#N/A</v>
      </c>
      <c r="K111" s="168" t="e">
        <f t="shared" si="2"/>
        <v>#N/A</v>
      </c>
      <c r="L111" s="169"/>
      <c r="M111" s="169"/>
      <c r="N111" s="159">
        <v>9.4990000000000006</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9.625</v>
      </c>
      <c r="C112" s="165">
        <f>'NonQM (FL)'!C41</f>
        <v>106.49650000000001</v>
      </c>
      <c r="D112" s="165">
        <f>'NonQM (FL)'!D41</f>
        <v>106.19650000000001</v>
      </c>
      <c r="E112" s="166"/>
      <c r="F112" s="166"/>
      <c r="H112" s="160">
        <v>31</v>
      </c>
      <c r="I112" s="167">
        <f t="shared" si="0"/>
        <v>9.625</v>
      </c>
      <c r="J112" s="168" t="e">
        <f t="shared" si="1"/>
        <v>#N/A</v>
      </c>
      <c r="K112" s="168" t="e">
        <f t="shared" si="2"/>
        <v>#N/A</v>
      </c>
      <c r="L112" s="169"/>
      <c r="M112" s="169"/>
      <c r="N112" s="159">
        <v>9.625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9.75</v>
      </c>
      <c r="C113" s="165">
        <f>'NonQM (FL)'!C42</f>
        <v>106.68450000000001</v>
      </c>
      <c r="D113" s="165">
        <f>'NonQM (FL)'!D42</f>
        <v>106.38450000000002</v>
      </c>
      <c r="E113" s="166"/>
      <c r="F113" s="166"/>
      <c r="H113" s="160">
        <v>32</v>
      </c>
      <c r="I113" s="167">
        <f t="shared" si="0"/>
        <v>9.75</v>
      </c>
      <c r="J113" s="168" t="e">
        <f t="shared" si="1"/>
        <v>#N/A</v>
      </c>
      <c r="K113" s="168" t="e">
        <f t="shared" si="2"/>
        <v>#N/A</v>
      </c>
      <c r="L113" s="169"/>
      <c r="M113" s="169"/>
      <c r="N113" s="159">
        <v>9.75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9.875</v>
      </c>
      <c r="C114" s="165">
        <f>'NonQM (FL)'!C43</f>
        <v>106.80950000000001</v>
      </c>
      <c r="D114" s="165">
        <f>'NonQM (FL)'!D43</f>
        <v>106.50950000000002</v>
      </c>
      <c r="E114" s="166"/>
      <c r="F114" s="166"/>
      <c r="H114" s="160">
        <v>33</v>
      </c>
      <c r="I114" s="167">
        <f t="shared" si="0"/>
        <v>9.875</v>
      </c>
      <c r="J114" s="168" t="e">
        <f t="shared" si="1"/>
        <v>#N/A</v>
      </c>
      <c r="K114" s="168" t="e">
        <f t="shared" si="2"/>
        <v>#N/A</v>
      </c>
      <c r="L114" s="169"/>
      <c r="M114" s="169"/>
      <c r="N114" s="159">
        <v>9.875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9.9990000000000006</v>
      </c>
      <c r="C115" s="165">
        <f>'NonQM (FL)'!C44</f>
        <v>106.93450000000001</v>
      </c>
      <c r="D115" s="165">
        <f>'NonQM (FL)'!D44</f>
        <v>106.63450000000002</v>
      </c>
      <c r="E115" s="166"/>
      <c r="F115" s="166"/>
      <c r="H115" s="160">
        <v>34</v>
      </c>
      <c r="I115" s="167">
        <f t="shared" si="0"/>
        <v>9.9990000000000006</v>
      </c>
      <c r="J115" s="168" t="e">
        <f t="shared" si="1"/>
        <v>#N/A</v>
      </c>
      <c r="K115" s="168" t="e">
        <f t="shared" si="2"/>
        <v>#N/A</v>
      </c>
      <c r="L115" s="169"/>
      <c r="M115" s="169"/>
      <c r="N115" s="159">
        <v>9.9990000000000006</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10.125</v>
      </c>
      <c r="C116" s="165">
        <f>'NonQM (FL)'!C45</f>
        <v>107.05950000000001</v>
      </c>
      <c r="D116" s="165">
        <f>'NonQM (FL)'!D45</f>
        <v>106.75950000000002</v>
      </c>
      <c r="E116" s="166"/>
      <c r="F116" s="166"/>
      <c r="H116" s="160">
        <v>35</v>
      </c>
      <c r="I116" s="167">
        <f t="shared" si="0"/>
        <v>10.125</v>
      </c>
      <c r="J116" s="168" t="e">
        <f t="shared" si="1"/>
        <v>#N/A</v>
      </c>
      <c r="K116" s="168" t="e">
        <f t="shared" si="2"/>
        <v>#N/A</v>
      </c>
      <c r="L116" s="169"/>
      <c r="M116" s="169"/>
      <c r="N116" s="159">
        <v>10.125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10.25</v>
      </c>
      <c r="C117" s="165">
        <f>'NonQM (FL)'!C46</f>
        <v>107.18450000000001</v>
      </c>
      <c r="D117" s="165">
        <f>'NonQM (FL)'!D46</f>
        <v>106.88450000000002</v>
      </c>
      <c r="E117" s="166"/>
      <c r="F117" s="166"/>
      <c r="H117" s="160">
        <v>36</v>
      </c>
      <c r="I117" s="167">
        <f t="shared" si="0"/>
        <v>10.25</v>
      </c>
      <c r="J117" s="168" t="e">
        <f t="shared" si="1"/>
        <v>#N/A</v>
      </c>
      <c r="K117" s="168" t="e">
        <f t="shared" si="2"/>
        <v>#N/A</v>
      </c>
      <c r="L117" s="169"/>
      <c r="M117" s="169"/>
      <c r="N117" s="159">
        <v>10.25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10.375</v>
      </c>
      <c r="C118" s="165">
        <f>'NonQM (FL)'!C47</f>
        <v>107.30950000000001</v>
      </c>
      <c r="D118" s="165">
        <f>'NonQM (FL)'!D47</f>
        <v>107.00950000000002</v>
      </c>
      <c r="E118" s="166"/>
      <c r="F118" s="166"/>
      <c r="H118" s="160">
        <v>37</v>
      </c>
      <c r="I118" s="167">
        <f t="shared" si="0"/>
        <v>10.375</v>
      </c>
      <c r="J118" s="168" t="e">
        <f t="shared" si="1"/>
        <v>#N/A</v>
      </c>
      <c r="K118" s="168" t="e">
        <f t="shared" si="2"/>
        <v>#N/A</v>
      </c>
      <c r="L118" s="169"/>
      <c r="M118" s="169"/>
      <c r="N118" s="159">
        <v>10.375</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10.499000000000001</v>
      </c>
      <c r="C119" s="165">
        <f>'NonQM (FL)'!C48</f>
        <v>107.43450000000001</v>
      </c>
      <c r="D119" s="165">
        <f>'NonQM (FL)'!D48</f>
        <v>107.13450000000002</v>
      </c>
      <c r="E119" s="166"/>
      <c r="F119" s="166"/>
      <c r="H119" s="160">
        <v>38</v>
      </c>
      <c r="I119" s="167">
        <f t="shared" si="0"/>
        <v>10.499000000000001</v>
      </c>
      <c r="J119" s="168" t="e">
        <f t="shared" si="1"/>
        <v>#N/A</v>
      </c>
      <c r="K119" s="168" t="e">
        <f t="shared" si="2"/>
        <v>#N/A</v>
      </c>
      <c r="L119" s="169"/>
      <c r="M119" s="169"/>
      <c r="N119" s="159">
        <v>10.499000000000001</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10.625</v>
      </c>
      <c r="C120" s="165">
        <f>'NonQM (FL)'!C49</f>
        <v>107.55950000000001</v>
      </c>
      <c r="D120" s="165">
        <f>'NonQM (FL)'!D49</f>
        <v>107.25950000000002</v>
      </c>
      <c r="E120" s="166"/>
      <c r="F120" s="166"/>
      <c r="H120" s="160">
        <v>39</v>
      </c>
      <c r="I120" s="167">
        <f t="shared" si="0"/>
        <v>10.625</v>
      </c>
      <c r="J120" s="168" t="e">
        <f t="shared" si="1"/>
        <v>#N/A</v>
      </c>
      <c r="K120" s="168" t="e">
        <f t="shared" si="2"/>
        <v>#N/A</v>
      </c>
      <c r="L120" s="169"/>
      <c r="M120" s="169"/>
      <c r="N120" s="159">
        <v>10.625</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10.75</v>
      </c>
      <c r="C121" s="165">
        <f>'NonQM (FL)'!C50</f>
        <v>107.68450000000001</v>
      </c>
      <c r="D121" s="165">
        <f>'NonQM (FL)'!D50</f>
        <v>107.38450000000002</v>
      </c>
      <c r="E121" s="166"/>
      <c r="F121" s="166"/>
      <c r="H121" s="160">
        <v>40</v>
      </c>
      <c r="I121" s="167">
        <f t="shared" si="0"/>
        <v>10.75</v>
      </c>
      <c r="J121" s="168" t="e">
        <f t="shared" si="1"/>
        <v>#N/A</v>
      </c>
      <c r="K121" s="168" t="e">
        <f t="shared" si="2"/>
        <v>#N/A</v>
      </c>
      <c r="L121" s="169"/>
      <c r="M121" s="169"/>
      <c r="N121" s="159">
        <v>10.75</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18" t="str">
        <f>'NonQM (FL)'!S55</f>
        <v>Max Price</v>
      </c>
      <c r="C129" s="719"/>
      <c r="D129" s="720"/>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07" t="str">
        <f>'NonQM (FL)'!S56</f>
        <v>Owner/2nd Home</v>
      </c>
      <c r="C130" s="708"/>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07" t="str">
        <f>'NonQM (FL)'!S57</f>
        <v>&gt;$2,500,000</v>
      </c>
      <c r="C131" s="708"/>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07" t="str">
        <f>'NonQM (FL)'!S58</f>
        <v>80.01-90.00% LTV</v>
      </c>
      <c r="C132" s="708"/>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07" t="str">
        <f>'NonQM (FL)'!S59</f>
        <v>ITIN/Foreign National</v>
      </c>
      <c r="C133" s="708"/>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07" t="str">
        <f>'NonQM (FL)'!S60</f>
        <v>Subord Financing</v>
      </c>
      <c r="C134" s="708"/>
      <c r="D134" s="484">
        <f>'NonQM (FL)'!T60</f>
        <v>100</v>
      </c>
      <c r="E134" s="470" t="str">
        <f>IF(OR('NonQM (FL)'!U32=S4),D134,"")</f>
        <v/>
      </c>
      <c r="F134"/>
      <c r="G134"/>
      <c r="H134"/>
      <c r="I134" s="711" t="s">
        <v>636</v>
      </c>
      <c r="J134" s="712"/>
      <c r="K134" s="194">
        <f>IF(L134="","",N130)</f>
        <v>0</v>
      </c>
      <c r="L134" s="195">
        <f>IF(N132&gt;E147,E147,N132)</f>
        <v>0</v>
      </c>
      <c r="M134"/>
      <c r="X134"/>
      <c r="Y134"/>
      <c r="Z134"/>
      <c r="AA134"/>
      <c r="AB134"/>
      <c r="AC134"/>
      <c r="AD134"/>
      <c r="AE134"/>
      <c r="AF134"/>
      <c r="AG134"/>
      <c r="AH134"/>
      <c r="AI134"/>
      <c r="AJ134"/>
      <c r="AK134"/>
    </row>
    <row r="135" spans="1:40" ht="15.75" thickBot="1" x14ac:dyDescent="0.3">
      <c r="B135" s="707" t="str">
        <f>'NonQM (FL)'!S61</f>
        <v>No PPP</v>
      </c>
      <c r="C135" s="708"/>
      <c r="D135" s="484">
        <f>'NonQM (FL)'!T61</f>
        <v>100</v>
      </c>
      <c r="E135" s="470" t="str">
        <f>IF(AND(ISNUMBER(MATCH('NonQM (FL)'!U23,L5:L6,0)),OR(ISNUMBER(MATCH('NonQM (FL)'!U27,H3:H4,0)),)),D135,"")</f>
        <v/>
      </c>
      <c r="F135"/>
      <c r="G135"/>
      <c r="H135"/>
      <c r="I135" s="716"/>
      <c r="J135" s="717"/>
      <c r="K135" s="196"/>
      <c r="L135" s="197"/>
      <c r="M135"/>
      <c r="X135"/>
      <c r="Y135"/>
      <c r="Z135"/>
      <c r="AA135"/>
      <c r="AB135"/>
      <c r="AC135"/>
      <c r="AD135"/>
      <c r="AE135"/>
      <c r="AF135"/>
      <c r="AG135"/>
      <c r="AH135"/>
      <c r="AI135"/>
      <c r="AJ135"/>
      <c r="AK135"/>
    </row>
    <row r="136" spans="1:40" x14ac:dyDescent="0.25">
      <c r="A136" s="109" t="s">
        <v>637</v>
      </c>
      <c r="B136" s="707" t="str">
        <f>'NonQM (FL)'!S62</f>
        <v>12 Months PPP</v>
      </c>
      <c r="C136" s="708"/>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07" t="str">
        <f>'NonQM (FL)'!S63</f>
        <v>24 Months PPP</v>
      </c>
      <c r="C137" s="708"/>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07" t="str">
        <f>'NonQM (FL)'!S64</f>
        <v>36-60 Months PPP</v>
      </c>
      <c r="C138" s="708"/>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07" t="str">
        <f>'NonQM (FL)'!S57</f>
        <v>&gt;$2,500,000</v>
      </c>
      <c r="C139" s="708"/>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07"/>
      <c r="C140" s="708"/>
      <c r="D140" s="483"/>
      <c r="E140" s="470"/>
      <c r="F140"/>
      <c r="G140"/>
      <c r="H140"/>
      <c r="I140"/>
      <c r="J140"/>
      <c r="K140"/>
      <c r="L140"/>
      <c r="M140"/>
    </row>
    <row r="141" spans="1:40" x14ac:dyDescent="0.25">
      <c r="B141" s="707"/>
      <c r="C141" s="708"/>
      <c r="D141" s="483"/>
      <c r="E141" s="470"/>
      <c r="F141"/>
      <c r="G141"/>
      <c r="H141"/>
      <c r="I141"/>
      <c r="J141"/>
      <c r="K141"/>
      <c r="L141"/>
      <c r="M141"/>
    </row>
    <row r="142" spans="1:40" x14ac:dyDescent="0.25">
      <c r="A142" s="109" t="s">
        <v>176</v>
      </c>
      <c r="B142" s="709"/>
      <c r="C142" s="710"/>
      <c r="D142" s="483"/>
      <c r="E142" s="471"/>
      <c r="F142"/>
      <c r="G142"/>
      <c r="H142"/>
      <c r="I142"/>
      <c r="J142"/>
      <c r="K142"/>
      <c r="L142"/>
      <c r="M142"/>
    </row>
    <row r="143" spans="1:40" x14ac:dyDescent="0.25">
      <c r="B143" s="709" t="str">
        <f>'NonQM (FL)'!S66</f>
        <v>NC Floor Price</v>
      </c>
      <c r="C143" s="710"/>
      <c r="D143" s="483">
        <f>'NonQM (FL)'!T66</f>
        <v>99.75</v>
      </c>
      <c r="E143" s="471" t="str" cm="1">
        <f t="array" ref="E143">IF(AND('NonQM (FL)'!S29=T16,OR('NonQM (FL)'!S23=L5:L6),'NonQM (FL)'!S27=H3),D143,"")</f>
        <v/>
      </c>
      <c r="F143"/>
      <c r="G143"/>
      <c r="H143"/>
      <c r="I143"/>
      <c r="J143"/>
      <c r="K143"/>
      <c r="L143"/>
      <c r="M143"/>
    </row>
    <row r="144" spans="1:40" x14ac:dyDescent="0.25">
      <c r="B144" s="707"/>
      <c r="C144" s="708"/>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9"/>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2">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2">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0"/>
      <c r="F159" s="612" t="s">
        <v>930</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677" t="s">
        <v>11</v>
      </c>
      <c r="C161" s="678"/>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778</v>
      </c>
      <c r="W161" s="454">
        <v>0</v>
      </c>
    </row>
    <row r="162" spans="2:23" ht="27" x14ac:dyDescent="0.25">
      <c r="B162" s="622" t="s">
        <v>95</v>
      </c>
      <c r="C162" s="623"/>
      <c r="D162" s="623"/>
      <c r="E162" s="623"/>
      <c r="F162" s="623"/>
      <c r="G162" s="623"/>
      <c r="H162" s="623"/>
      <c r="I162" s="623"/>
      <c r="J162" s="623"/>
      <c r="K162" s="623"/>
      <c r="L162" s="624"/>
      <c r="M162"/>
      <c r="N162" s="119" t="s">
        <v>31</v>
      </c>
      <c r="O162" s="349" t="s">
        <v>52</v>
      </c>
      <c r="P162" s="350" t="s">
        <v>50</v>
      </c>
      <c r="Q162" s="350" t="s">
        <v>640</v>
      </c>
      <c r="R162" s="350" t="s">
        <v>641</v>
      </c>
      <c r="T162" s="455" t="s">
        <v>767</v>
      </c>
      <c r="U162" s="455" t="s">
        <v>767</v>
      </c>
      <c r="V162" s="453" t="s">
        <v>779</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780</v>
      </c>
      <c r="W163" s="454">
        <v>0.25</v>
      </c>
    </row>
    <row r="164" spans="2:23" x14ac:dyDescent="0.25">
      <c r="B164" s="345" t="s">
        <v>238</v>
      </c>
      <c r="C164" s="346"/>
      <c r="D164" s="609">
        <f>'NonQM (FL)'!H51</f>
        <v>0</v>
      </c>
      <c r="E164" s="609">
        <f>'NonQM (FL)'!I51</f>
        <v>0</v>
      </c>
      <c r="F164" s="609">
        <f>'NonQM (FL)'!J51</f>
        <v>-0.125</v>
      </c>
      <c r="G164" s="609">
        <f>'NonQM (FL)'!K51</f>
        <v>-0.375</v>
      </c>
      <c r="H164" s="609">
        <f>'NonQM (FL)'!L51</f>
        <v>-0.375</v>
      </c>
      <c r="I164" s="609">
        <f>'NonQM (FL)'!M51</f>
        <v>-0.375</v>
      </c>
      <c r="J164" s="609">
        <f>'NonQM (FL)'!N51</f>
        <v>-0.375</v>
      </c>
      <c r="K164" s="609">
        <f>'NonQM (FL)'!O51</f>
        <v>-0.5</v>
      </c>
      <c r="L164" s="609"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9">
        <f>'NonQM (FL)'!H72</f>
        <v>0</v>
      </c>
      <c r="E186" s="609">
        <f>'NonQM (FL)'!I72</f>
        <v>0</v>
      </c>
      <c r="F186" s="609">
        <f>'NonQM (FL)'!J72</f>
        <v>0</v>
      </c>
      <c r="G186" s="609">
        <f>'NonQM (FL)'!K72</f>
        <v>0</v>
      </c>
      <c r="H186" s="609">
        <f>'NonQM (FL)'!L72</f>
        <v>0</v>
      </c>
      <c r="I186" s="609">
        <f>'NonQM (FL)'!M72</f>
        <v>0</v>
      </c>
      <c r="J186" s="609">
        <f>'NonQM (FL)'!N72</f>
        <v>0</v>
      </c>
      <c r="K186" s="609">
        <f>'NonQM (FL)'!O72</f>
        <v>-0.25</v>
      </c>
      <c r="L186" s="611">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9">
        <f>'NonQM (FL)'!H75</f>
        <v>-2</v>
      </c>
      <c r="E192" s="609">
        <f>'NonQM (FL)'!I75</f>
        <v>-2</v>
      </c>
      <c r="F192" s="609">
        <f>'NonQM (FL)'!J75</f>
        <v>-2.5</v>
      </c>
      <c r="G192" s="609">
        <f>'NonQM (FL)'!K75</f>
        <v>-2.5</v>
      </c>
      <c r="H192" s="609">
        <f>'NonQM (FL)'!L75</f>
        <v>-2.5</v>
      </c>
      <c r="I192" s="609">
        <f>'NonQM (FL)'!M75</f>
        <v>-2.5</v>
      </c>
      <c r="J192" s="609">
        <f>'NonQM (FL)'!N75</f>
        <v>-2.75</v>
      </c>
      <c r="K192" s="609">
        <f>'NonQM (FL)'!O75</f>
        <v>-3</v>
      </c>
      <c r="L192" s="611" t="e">
        <f>'NonQM (FL)'!P75</f>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894</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23" t="s">
        <v>736</v>
      </c>
      <c r="B2" s="724"/>
      <c r="C2" s="724"/>
      <c r="D2" s="725"/>
      <c r="F2" s="754" t="s">
        <v>748</v>
      </c>
      <c r="G2" s="755"/>
      <c r="H2" s="746" t="s">
        <v>741</v>
      </c>
      <c r="I2" s="747"/>
      <c r="K2" s="447"/>
      <c r="L2" s="737"/>
      <c r="M2" s="737"/>
      <c r="O2" s="445"/>
      <c r="P2" s="444"/>
    </row>
    <row r="3" spans="1:16" x14ac:dyDescent="0.25">
      <c r="A3" s="726" t="s">
        <v>735</v>
      </c>
      <c r="B3" s="727"/>
      <c r="C3" s="728" t="s">
        <v>734</v>
      </c>
      <c r="D3" s="729"/>
      <c r="F3" s="756"/>
      <c r="G3" s="757"/>
      <c r="H3" s="740" t="s">
        <v>746</v>
      </c>
      <c r="I3" s="741"/>
      <c r="K3" s="447"/>
      <c r="L3" s="738"/>
      <c r="M3" s="738"/>
      <c r="O3" s="445"/>
      <c r="P3" s="444"/>
    </row>
    <row r="4" spans="1:16" ht="15.75" thickBot="1" x14ac:dyDescent="0.3">
      <c r="A4" s="728" t="s">
        <v>733</v>
      </c>
      <c r="B4" s="729"/>
      <c r="C4" s="726" t="s">
        <v>732</v>
      </c>
      <c r="D4" s="727"/>
      <c r="F4" s="756"/>
      <c r="G4" s="757"/>
      <c r="H4" s="744"/>
      <c r="I4" s="745"/>
      <c r="K4" s="447"/>
      <c r="L4" s="738"/>
      <c r="M4" s="738"/>
      <c r="O4" s="445"/>
      <c r="P4" s="444"/>
    </row>
    <row r="5" spans="1:16" ht="15.75" thickBot="1" x14ac:dyDescent="0.3">
      <c r="A5" s="726" t="s">
        <v>731</v>
      </c>
      <c r="B5" s="727"/>
      <c r="C5" s="728" t="s">
        <v>730</v>
      </c>
      <c r="D5" s="729"/>
      <c r="F5" s="742" t="s">
        <v>749</v>
      </c>
      <c r="G5" s="759"/>
      <c r="H5" s="746" t="s">
        <v>742</v>
      </c>
      <c r="I5" s="747"/>
      <c r="K5" s="447"/>
      <c r="L5" s="737"/>
      <c r="M5" s="737"/>
    </row>
    <row r="6" spans="1:16" ht="15" customHeight="1" x14ac:dyDescent="0.25">
      <c r="A6" s="728" t="s">
        <v>234</v>
      </c>
      <c r="B6" s="729"/>
      <c r="C6" s="726" t="s">
        <v>729</v>
      </c>
      <c r="D6" s="727"/>
      <c r="F6" s="760"/>
      <c r="G6" s="759"/>
      <c r="H6" s="740" t="s">
        <v>744</v>
      </c>
      <c r="I6" s="741"/>
      <c r="K6" s="448"/>
      <c r="L6" s="738"/>
      <c r="M6" s="738"/>
      <c r="O6" s="444"/>
    </row>
    <row r="7" spans="1:16" x14ac:dyDescent="0.25">
      <c r="A7" s="726" t="s">
        <v>728</v>
      </c>
      <c r="B7" s="727"/>
      <c r="C7" s="728" t="s">
        <v>727</v>
      </c>
      <c r="D7" s="729"/>
      <c r="F7" s="742" t="s">
        <v>750</v>
      </c>
      <c r="G7" s="759"/>
      <c r="H7" s="742"/>
      <c r="I7" s="743"/>
      <c r="K7" s="448"/>
      <c r="L7" s="738"/>
      <c r="M7" s="738"/>
      <c r="O7" s="444"/>
    </row>
    <row r="8" spans="1:16" ht="15.75" thickBot="1" x14ac:dyDescent="0.3">
      <c r="A8" s="728" t="s">
        <v>726</v>
      </c>
      <c r="B8" s="729"/>
      <c r="C8" s="726" t="s">
        <v>725</v>
      </c>
      <c r="D8" s="727"/>
      <c r="F8" s="760"/>
      <c r="G8" s="759"/>
      <c r="H8" s="744"/>
      <c r="I8" s="745"/>
      <c r="L8" s="738"/>
      <c r="M8" s="738"/>
      <c r="O8" s="444"/>
    </row>
    <row r="9" spans="1:16" ht="15" customHeight="1" thickBot="1" x14ac:dyDescent="0.3">
      <c r="A9" s="726" t="s">
        <v>724</v>
      </c>
      <c r="B9" s="727"/>
      <c r="C9" s="728" t="s">
        <v>723</v>
      </c>
      <c r="D9" s="729"/>
      <c r="F9" s="742" t="s">
        <v>751</v>
      </c>
      <c r="G9" s="758"/>
      <c r="H9" s="746" t="s">
        <v>743</v>
      </c>
      <c r="I9" s="747"/>
      <c r="K9" s="448"/>
      <c r="L9" s="737"/>
      <c r="M9" s="737"/>
    </row>
    <row r="10" spans="1:16" ht="15.75" thickBot="1" x14ac:dyDescent="0.3">
      <c r="A10" s="728" t="s">
        <v>722</v>
      </c>
      <c r="B10" s="729"/>
      <c r="C10" s="726" t="s">
        <v>721</v>
      </c>
      <c r="D10" s="727"/>
      <c r="F10" s="742"/>
      <c r="G10" s="758"/>
      <c r="H10" s="748" t="s">
        <v>745</v>
      </c>
      <c r="I10" s="749"/>
      <c r="K10" s="448"/>
      <c r="L10" s="739"/>
      <c r="M10" s="739"/>
    </row>
    <row r="11" spans="1:16" x14ac:dyDescent="0.25">
      <c r="A11" s="726" t="s">
        <v>720</v>
      </c>
      <c r="B11" s="727"/>
      <c r="C11" s="728" t="s">
        <v>719</v>
      </c>
      <c r="D11" s="729"/>
      <c r="F11" s="742" t="s">
        <v>752</v>
      </c>
      <c r="G11" s="761"/>
      <c r="I11" s="446"/>
    </row>
    <row r="12" spans="1:16" ht="15" customHeight="1" x14ac:dyDescent="0.25">
      <c r="A12" s="728" t="s">
        <v>718</v>
      </c>
      <c r="B12" s="729"/>
      <c r="C12" s="726" t="s">
        <v>717</v>
      </c>
      <c r="D12" s="727"/>
      <c r="F12" s="760"/>
      <c r="G12" s="761"/>
      <c r="H12" s="448"/>
      <c r="I12" s="448"/>
      <c r="J12" s="448"/>
      <c r="K12" s="448"/>
    </row>
    <row r="13" spans="1:16" ht="15.75" thickBot="1" x14ac:dyDescent="0.3">
      <c r="A13" s="726" t="s">
        <v>716</v>
      </c>
      <c r="B13" s="727"/>
      <c r="C13" s="728" t="s">
        <v>715</v>
      </c>
      <c r="D13" s="729"/>
      <c r="F13" s="762"/>
      <c r="G13" s="763"/>
      <c r="H13" s="448"/>
      <c r="I13" s="448"/>
      <c r="K13" s="448"/>
    </row>
    <row r="14" spans="1:16" ht="15.75" thickBot="1" x14ac:dyDescent="0.3">
      <c r="A14" s="728" t="s">
        <v>714</v>
      </c>
      <c r="B14" s="729"/>
      <c r="C14" s="726" t="s">
        <v>713</v>
      </c>
      <c r="D14" s="727"/>
    </row>
    <row r="15" spans="1:16" ht="15.75" thickBot="1" x14ac:dyDescent="0.3">
      <c r="A15" s="726" t="s">
        <v>712</v>
      </c>
      <c r="B15" s="727"/>
      <c r="C15" s="728" t="s">
        <v>711</v>
      </c>
      <c r="D15" s="729"/>
      <c r="F15" s="750" t="s">
        <v>747</v>
      </c>
      <c r="G15" s="751"/>
      <c r="H15"/>
      <c r="I15"/>
      <c r="J15" s="446"/>
      <c r="K15" s="446"/>
    </row>
    <row r="16" spans="1:16" ht="15" customHeight="1" x14ac:dyDescent="0.25">
      <c r="A16" s="728" t="s">
        <v>710</v>
      </c>
      <c r="B16" s="729"/>
      <c r="C16" s="726" t="s">
        <v>709</v>
      </c>
      <c r="D16" s="727"/>
      <c r="F16" s="764" t="s">
        <v>753</v>
      </c>
      <c r="G16" s="765"/>
      <c r="H16"/>
      <c r="I16"/>
      <c r="J16" s="448"/>
    </row>
    <row r="17" spans="1:16" ht="15" customHeight="1" x14ac:dyDescent="0.25">
      <c r="A17" s="726" t="s">
        <v>708</v>
      </c>
      <c r="B17" s="727"/>
      <c r="C17" s="728" t="s">
        <v>707</v>
      </c>
      <c r="D17" s="729"/>
      <c r="F17" s="760"/>
      <c r="G17" s="761"/>
      <c r="H17"/>
      <c r="I17"/>
      <c r="J17" s="448"/>
      <c r="K17" s="448"/>
      <c r="L17" s="448"/>
      <c r="M17" s="448"/>
      <c r="P17" s="444"/>
    </row>
    <row r="18" spans="1:16" x14ac:dyDescent="0.25">
      <c r="A18" s="728" t="s">
        <v>706</v>
      </c>
      <c r="B18" s="729"/>
      <c r="C18" s="726" t="s">
        <v>705</v>
      </c>
      <c r="D18" s="727"/>
      <c r="F18" s="760"/>
      <c r="G18" s="761"/>
      <c r="H18"/>
      <c r="I18"/>
      <c r="J18" s="448"/>
      <c r="K18" s="448"/>
      <c r="L18" s="448"/>
      <c r="M18" s="448"/>
      <c r="P18" s="444"/>
    </row>
    <row r="19" spans="1:16" x14ac:dyDescent="0.25">
      <c r="A19" s="726" t="s">
        <v>704</v>
      </c>
      <c r="B19" s="727"/>
      <c r="C19" s="728" t="s">
        <v>703</v>
      </c>
      <c r="D19" s="729"/>
      <c r="F19" s="760"/>
      <c r="G19" s="761"/>
      <c r="H19"/>
      <c r="I19"/>
      <c r="J19" s="448"/>
      <c r="K19" s="448"/>
      <c r="L19" s="448"/>
      <c r="M19" s="448"/>
      <c r="P19" s="444"/>
    </row>
    <row r="20" spans="1:16" x14ac:dyDescent="0.25">
      <c r="A20" s="728" t="s">
        <v>702</v>
      </c>
      <c r="B20" s="729"/>
      <c r="C20" s="726" t="s">
        <v>701</v>
      </c>
      <c r="D20" s="727"/>
      <c r="F20" s="760"/>
      <c r="G20" s="761"/>
      <c r="H20"/>
      <c r="I20"/>
      <c r="J20" s="448"/>
      <c r="K20" s="448"/>
      <c r="L20" s="448"/>
      <c r="M20" s="448"/>
      <c r="P20" s="444"/>
    </row>
    <row r="21" spans="1:16" x14ac:dyDescent="0.25">
      <c r="A21" s="726" t="s">
        <v>700</v>
      </c>
      <c r="B21" s="727"/>
      <c r="C21" s="728" t="s">
        <v>699</v>
      </c>
      <c r="D21" s="729"/>
      <c r="F21" s="742" t="s">
        <v>754</v>
      </c>
      <c r="G21" s="761"/>
      <c r="H21"/>
      <c r="I21"/>
      <c r="J21" s="448"/>
      <c r="K21" s="448"/>
      <c r="L21" s="448"/>
      <c r="M21" s="448"/>
    </row>
    <row r="22" spans="1:16" x14ac:dyDescent="0.25">
      <c r="A22" s="723" t="s">
        <v>698</v>
      </c>
      <c r="B22" s="724"/>
      <c r="C22" s="724"/>
      <c r="D22" s="725"/>
      <c r="F22" s="760"/>
      <c r="G22" s="761"/>
      <c r="H22"/>
      <c r="I22"/>
      <c r="P22" s="444"/>
    </row>
    <row r="23" spans="1:16" ht="15" customHeight="1" x14ac:dyDescent="0.25">
      <c r="A23" s="735" t="s">
        <v>697</v>
      </c>
      <c r="B23" s="736"/>
      <c r="C23" s="728" t="s">
        <v>696</v>
      </c>
      <c r="D23" s="729"/>
      <c r="F23" s="760"/>
      <c r="G23" s="761"/>
      <c r="H23"/>
      <c r="I23"/>
      <c r="J23" s="448"/>
      <c r="K23" s="448"/>
      <c r="L23" s="448"/>
      <c r="M23" s="448"/>
      <c r="P23" s="444"/>
    </row>
    <row r="24" spans="1:16" x14ac:dyDescent="0.25">
      <c r="A24" s="728" t="s">
        <v>695</v>
      </c>
      <c r="B24" s="729"/>
      <c r="C24" s="726" t="s">
        <v>246</v>
      </c>
      <c r="D24" s="727"/>
      <c r="F24" s="760"/>
      <c r="G24" s="761"/>
      <c r="H24"/>
      <c r="I24"/>
      <c r="J24" s="448"/>
      <c r="K24" s="448"/>
      <c r="L24" s="448"/>
      <c r="M24" s="448"/>
      <c r="P24" s="444"/>
    </row>
    <row r="25" spans="1:16" x14ac:dyDescent="0.25">
      <c r="A25" s="726" t="s">
        <v>694</v>
      </c>
      <c r="B25" s="727"/>
      <c r="C25" s="730"/>
      <c r="D25" s="731"/>
      <c r="F25" s="760"/>
      <c r="G25" s="761"/>
      <c r="H25"/>
      <c r="I25"/>
      <c r="J25" s="448"/>
      <c r="K25" s="448"/>
      <c r="L25" s="448"/>
      <c r="M25" s="448"/>
      <c r="P25" s="444"/>
    </row>
    <row r="26" spans="1:16" x14ac:dyDescent="0.25">
      <c r="A26" s="723" t="s">
        <v>693</v>
      </c>
      <c r="B26" s="724"/>
      <c r="C26" s="724"/>
      <c r="D26" s="725"/>
      <c r="F26" s="742" t="s">
        <v>755</v>
      </c>
      <c r="G26" s="743"/>
      <c r="H26" s="448"/>
      <c r="I26" s="448"/>
      <c r="J26" s="448"/>
      <c r="K26" s="448"/>
      <c r="L26" s="448"/>
      <c r="M26" s="448"/>
      <c r="P26" s="444"/>
    </row>
    <row r="27" spans="1:16" x14ac:dyDescent="0.25">
      <c r="A27" s="439" t="s">
        <v>692</v>
      </c>
      <c r="B27" s="439" t="s">
        <v>691</v>
      </c>
      <c r="C27" s="439" t="s">
        <v>690</v>
      </c>
      <c r="D27" s="439" t="s">
        <v>689</v>
      </c>
      <c r="F27" s="742"/>
      <c r="G27" s="743"/>
      <c r="H27" s="448"/>
      <c r="I27" s="448"/>
      <c r="J27" s="448"/>
      <c r="K27" s="448"/>
      <c r="L27" s="448"/>
      <c r="M27" s="448"/>
    </row>
    <row r="28" spans="1:16" ht="90" x14ac:dyDescent="0.25">
      <c r="A28" s="434" t="s">
        <v>688</v>
      </c>
      <c r="B28" s="438" t="s">
        <v>687</v>
      </c>
      <c r="C28" s="433" t="s">
        <v>671</v>
      </c>
      <c r="D28" s="433" t="s">
        <v>686</v>
      </c>
      <c r="F28" s="742"/>
      <c r="G28" s="743"/>
    </row>
    <row r="29" spans="1:16" ht="75.75" thickBot="1" x14ac:dyDescent="0.3">
      <c r="A29" s="437" t="s">
        <v>240</v>
      </c>
      <c r="B29" s="435" t="s">
        <v>682</v>
      </c>
      <c r="C29" s="435" t="s">
        <v>685</v>
      </c>
      <c r="D29" s="435" t="s">
        <v>684</v>
      </c>
      <c r="F29" s="752" t="s">
        <v>756</v>
      </c>
      <c r="G29" s="753"/>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32" t="s">
        <v>665</v>
      </c>
      <c r="B35" s="733"/>
      <c r="C35" s="733"/>
      <c r="D35" s="734"/>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C19" zoomScale="85" zoomScaleNormal="85" workbookViewId="0">
      <selection activeCell="AM53" sqref="AM53:AM54"/>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894</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4" t="s">
        <v>275</v>
      </c>
      <c r="AH37" s="603"/>
      <c r="AI37" s="603"/>
      <c r="AJ37"/>
      <c r="AK37" s="604" t="s">
        <v>276</v>
      </c>
      <c r="AL37" s="603"/>
      <c r="AM37" s="603"/>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c r="AL40"/>
      <c r="AM40"/>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923</v>
      </c>
      <c r="AL41" s="339" t="str">
        <f>IF(AND(ISNUMBER(MATCH('DSCR (FL)'!$S$12,$A$3:$A$5,0)),ISNUMBER(MATCH('DSCR (FL)'!$S$11,$B$9:$B$11,0)),ISNUMBER(MATCH('DSCR (FL)'!$S$21,$J$5,0)),ISNUMBER(MATCH('DSCR (FL)'!$S$13,$C$6:$C$7,0)),ISNUMBER(MATCH('DSCR (FL)'!$S$20,$G$8,0))),NA(),"")</f>
        <v/>
      </c>
      <c r="AM41" t="s">
        <v>924</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923</v>
      </c>
      <c r="AL42" s="339" t="str">
        <f>IF(AND(ISNUMBER(MATCH('DSCR (FL)'!$S$12,$A$3:$A$5,0)),ISNUMBER(MATCH('DSCR (FL)'!$S$11,$B$9:$B$11,0)),ISNUMBER(MATCH('DSCR (FL)'!$S$21,$J$5,0)),ISNUMBER(MATCH('DSCR (FL)'!$S$13,$C$6:$C$7,0)),ISNUMBER(MATCH('DSCR (FL)'!$S$20,$G$9,0))),NA(),"")</f>
        <v/>
      </c>
      <c r="AM42" t="s">
        <v>925</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923</v>
      </c>
      <c r="AL43" s="339" t="str">
        <f>IF(AND(ISNUMBER(MATCH('DSCR (FL)'!$S$12,$A$3:$A$5,0)),ISNUMBER(MATCH('DSCR (FL)'!$S$11,$B$8:$B$11,0)),ISNUMBER(MATCH('DSCR (FL)'!$S$21,$J$5,0)),ISNUMBER(MATCH('DSCR (FL)'!$S$13,$C$6:$C$7,0)),ISNUMBER(MATCH('DSCR (FL)'!$S$20,$G$10,0))),NA(),"")</f>
        <v/>
      </c>
      <c r="AM43" t="s">
        <v>926</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923</v>
      </c>
      <c r="AL44" s="339" t="str">
        <f>IF(AND(ISNUMBER(MATCH('DSCR (FL)'!$S$12,$A$3:$A$5,0)),ISNUMBER(MATCH('DSCR (FL)'!$S$11,$B$6:$B$11,0)),ISNUMBER(MATCH('DSCR (FL)'!$S$21,$J$5,0)),ISNUMBER(MATCH('DSCR (FL)'!$S$13,$C$6:$C$7,0)),ISNUMBER(MATCH('DSCR (FL)'!$S$20,$G$11:$G$12,0))),NA(),"")</f>
        <v/>
      </c>
      <c r="AM44" t="s">
        <v>927</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932</v>
      </c>
      <c r="AL45" s="339" t="str">
        <f>IF(AND(ISNUMBER(MATCH('DSCR (FL)'!$S$12,$A$3:$A$12,0)),ISNUMBER(MATCH('DSCR (FL)'!$S$11,$B$8:$B$11,0)),ISNUMBER(MATCH('DSCR (FL)'!$S$21,$J$5,0)),ISNUMBER(MATCH('DSCR (FL)'!$S$13,$C$10,0)),ISNUMBER(MATCH('DSCR (FL)'!$S$20,$G$3:$G$12,0))),NA(),"")</f>
        <v/>
      </c>
      <c r="AM45" t="s">
        <v>931</v>
      </c>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822</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821</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822</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1"/>
      <c r="AH57" s="602"/>
      <c r="AI57" s="602"/>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3"/>
      <c r="AI65" s="603"/>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6">
        <f>SUM(B39:B66)+SUM(G38:G76)+SUM(M38:M77)+SUM(R38:R82)+SUM(AH38:AH112)+SUM(Z37:Z125)+SUM(V37:V92)+SUM(AL38:AL45)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800</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893</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21" t="s">
        <v>618</v>
      </c>
      <c r="C80" s="722"/>
      <c r="D80" s="722"/>
      <c r="E80" s="722"/>
      <c r="F80"/>
      <c r="I80" s="713" t="s">
        <v>618</v>
      </c>
      <c r="J80" s="714"/>
      <c r="K80" s="714"/>
      <c r="L80" s="715"/>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5.875</v>
      </c>
      <c r="C82" s="157"/>
      <c r="D82" s="157"/>
      <c r="E82" s="158">
        <f>'DSCR (FL)'!C11</f>
        <v>96.888000000000062</v>
      </c>
      <c r="F82" s="158" t="e">
        <f>'DSCR (FL)'!D11</f>
        <v>#N/A</v>
      </c>
      <c r="G82" s="159" t="e">
        <f>SUM('DSCR (FL)'!T12:T35)+B67</f>
        <v>#N/A</v>
      </c>
      <c r="H82" s="160">
        <v>1</v>
      </c>
      <c r="I82" s="161">
        <f t="shared" ref="I82:I124" si="0">B82</f>
        <v>5.875</v>
      </c>
      <c r="J82" s="162"/>
      <c r="K82" s="162"/>
      <c r="L82" s="163" t="e">
        <f t="shared" ref="L82:M84" si="1">E82+$G$82</f>
        <v>#N/A</v>
      </c>
      <c r="M82" s="163" t="e">
        <f t="shared" si="1"/>
        <v>#N/A</v>
      </c>
      <c r="N82" s="365" cm="1">
        <f t="array" ref="N82:N124">I82:I124</f>
        <v>5.875</v>
      </c>
      <c r="Q82" s="600" t="s">
        <v>623</v>
      </c>
      <c r="R82" s="170" t="str" cm="1">
        <f t="array" ref="R82">IF(AND(
   ISNUMBER(MATCH('DSCR (FL)'!$S$12, $A$3:$A$12, 0)),
   ISNUMBER(MATCH('DSCR (FL)'!$S$11, $B$8:$B$11, 0)),
   ISNUMBER(MATCH('DSCR (FL)'!$S$21, $J$5, 0)),
   ISNUMBER(MATCH('DSCR (FL)'!$S$21, $J$7, 0)),
   ISNUMBER(MATCH('DSCR (FL)'!$S$20, $G$5:$G$6, 0)),
   ISNUMBER(MATCH('DSCR (FL)'!$S$13 = $C$6:$C$7, 0)),
   'DSCR (FL)'!$S$18 = $E$9
), NA(), "")</f>
        <v/>
      </c>
      <c r="S82" s="600" t="s">
        <v>624</v>
      </c>
      <c r="AH82" s="121"/>
      <c r="AJ82" s="121"/>
      <c r="AK82" s="121"/>
      <c r="AL82" s="121"/>
      <c r="AM82" s="121"/>
      <c r="AN82" s="121"/>
      <c r="AO82" s="121"/>
      <c r="AP82" s="121"/>
    </row>
    <row r="83" spans="2:48" x14ac:dyDescent="0.25">
      <c r="B83" s="164">
        <f>'DSCR (FL)'!B12</f>
        <v>5.9989999999999997</v>
      </c>
      <c r="C83" s="165"/>
      <c r="D83" s="165"/>
      <c r="E83" s="166">
        <f>'DSCR (FL)'!C12</f>
        <v>97.638000000000062</v>
      </c>
      <c r="F83" s="166" t="e">
        <f>'DSCR (FL)'!D12</f>
        <v>#N/A</v>
      </c>
      <c r="G83" s="109" t="s">
        <v>625</v>
      </c>
      <c r="H83" s="160">
        <v>2</v>
      </c>
      <c r="I83" s="167">
        <f t="shared" si="0"/>
        <v>5.9989999999999997</v>
      </c>
      <c r="J83" s="168"/>
      <c r="K83" s="168"/>
      <c r="L83" s="169" t="e">
        <f t="shared" si="1"/>
        <v>#N/A</v>
      </c>
      <c r="M83" s="169" t="e">
        <f t="shared" si="1"/>
        <v>#N/A</v>
      </c>
      <c r="N83" s="365">
        <v>5.9989999999999997</v>
      </c>
      <c r="AH83" s="121"/>
      <c r="AJ83" s="121"/>
      <c r="AK83" s="121"/>
      <c r="AL83" s="121"/>
      <c r="AM83" s="121"/>
      <c r="AN83" s="121"/>
      <c r="AO83" s="121"/>
      <c r="AP83" s="121"/>
    </row>
    <row r="84" spans="2:48" ht="15.75" thickBot="1" x14ac:dyDescent="0.3">
      <c r="B84" s="164">
        <f>'DSCR (FL)'!B13</f>
        <v>6.125</v>
      </c>
      <c r="C84" s="165"/>
      <c r="D84" s="165"/>
      <c r="E84" s="166">
        <f>'DSCR (FL)'!C13</f>
        <v>98.26250000000006</v>
      </c>
      <c r="F84" s="166" t="e">
        <f>'DSCR (FL)'!D13</f>
        <v>#N/A</v>
      </c>
      <c r="G84" s="109" t="s">
        <v>626</v>
      </c>
      <c r="H84" s="160">
        <v>3</v>
      </c>
      <c r="I84" s="167">
        <f t="shared" si="0"/>
        <v>6.125</v>
      </c>
      <c r="J84" s="168"/>
      <c r="K84" s="168"/>
      <c r="L84" s="169" t="e">
        <f t="shared" si="1"/>
        <v>#N/A</v>
      </c>
      <c r="M84" s="169" t="e">
        <f t="shared" si="1"/>
        <v>#N/A</v>
      </c>
      <c r="N84" s="365">
        <v>6.125</v>
      </c>
      <c r="AG84" s="605" t="s">
        <v>654</v>
      </c>
      <c r="AH84" s="607"/>
      <c r="AI84" s="606"/>
      <c r="AJ84" s="121"/>
      <c r="AK84" s="121"/>
      <c r="AL84" s="121"/>
      <c r="AM84" s="121"/>
      <c r="AN84" s="121"/>
      <c r="AO84" s="121"/>
      <c r="AP84" s="121"/>
    </row>
    <row r="85" spans="2:48" x14ac:dyDescent="0.25">
      <c r="B85" s="164">
        <f>'DSCR (FL)'!B14</f>
        <v>6.25</v>
      </c>
      <c r="C85" s="165"/>
      <c r="D85" s="165"/>
      <c r="E85" s="166">
        <f>'DSCR (FL)'!C14</f>
        <v>98.70000000000006</v>
      </c>
      <c r="F85" s="166" t="e">
        <f>'DSCR (FL)'!D14</f>
        <v>#N/A</v>
      </c>
      <c r="G85" s="159" t="e">
        <f>'DSCR (FL)'!T40</f>
        <v>#N/A</v>
      </c>
      <c r="H85" s="160">
        <v>4</v>
      </c>
      <c r="I85" s="167">
        <f t="shared" si="0"/>
        <v>6.25</v>
      </c>
      <c r="J85" s="168"/>
      <c r="K85" s="168"/>
      <c r="L85" s="169" t="e">
        <f>E85+$G$82</f>
        <v>#N/A</v>
      </c>
      <c r="M85" s="169" t="e">
        <f>F85+$G$82</f>
        <v>#N/A</v>
      </c>
      <c r="N85" s="365">
        <v>6.25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6.375</v>
      </c>
      <c r="C86" s="165"/>
      <c r="D86" s="165"/>
      <c r="E86" s="166">
        <f>'DSCR (FL)'!C15</f>
        <v>99.075500000000062</v>
      </c>
      <c r="F86" s="166" t="e">
        <f>'DSCR (FL)'!D15</f>
        <v>#N/A</v>
      </c>
      <c r="H86" s="160">
        <v>5</v>
      </c>
      <c r="I86" s="167">
        <f t="shared" si="0"/>
        <v>6.375</v>
      </c>
      <c r="J86" s="168"/>
      <c r="K86" s="168"/>
      <c r="L86" s="169" t="e">
        <f t="shared" ref="L86:L124" si="2">E86+$G$82</f>
        <v>#N/A</v>
      </c>
      <c r="M86" s="169" t="e">
        <f t="shared" ref="M86:M124" si="3">F86+$G$82</f>
        <v>#N/A</v>
      </c>
      <c r="N86" s="365">
        <v>6.375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6.4989999999999997</v>
      </c>
      <c r="C87" s="165"/>
      <c r="D87" s="165"/>
      <c r="E87" s="166">
        <f>'DSCR (FL)'!C16</f>
        <v>99.575500000000062</v>
      </c>
      <c r="F87" s="166" t="e">
        <f>'DSCR (FL)'!D16</f>
        <v>#N/A</v>
      </c>
      <c r="H87" s="160">
        <v>6</v>
      </c>
      <c r="I87" s="167">
        <f t="shared" si="0"/>
        <v>6.4989999999999997</v>
      </c>
      <c r="J87" s="168"/>
      <c r="K87" s="168"/>
      <c r="L87" s="169" t="e">
        <f t="shared" si="2"/>
        <v>#N/A</v>
      </c>
      <c r="M87" s="169" t="e">
        <f t="shared" si="3"/>
        <v>#N/A</v>
      </c>
      <c r="N87" s="365">
        <v>6.4989999999999997</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6.625</v>
      </c>
      <c r="C88" s="165"/>
      <c r="D88" s="165"/>
      <c r="E88" s="166">
        <f>'DSCR (FL)'!C17</f>
        <v>100.04350000000007</v>
      </c>
      <c r="F88" s="166" t="e">
        <f>'DSCR (FL)'!D17</f>
        <v>#N/A</v>
      </c>
      <c r="H88" s="160">
        <v>7</v>
      </c>
      <c r="I88" s="167">
        <f t="shared" si="0"/>
        <v>6.625</v>
      </c>
      <c r="J88" s="168"/>
      <c r="K88" s="168"/>
      <c r="L88" s="169" t="e">
        <f t="shared" si="2"/>
        <v>#N/A</v>
      </c>
      <c r="M88" s="169" t="e">
        <f t="shared" si="3"/>
        <v>#N/A</v>
      </c>
      <c r="N88" s="365">
        <v>6.625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6.75</v>
      </c>
      <c r="C89" s="165"/>
      <c r="D89" s="165"/>
      <c r="E89" s="166">
        <f>'DSCR (FL)'!C18</f>
        <v>100.48150000000005</v>
      </c>
      <c r="F89" s="166" t="e">
        <f>'DSCR (FL)'!D18</f>
        <v>#N/A</v>
      </c>
      <c r="G89" s="109" t="str">
        <f>'DSCR (FL)'!S17</f>
        <v>DSCR</v>
      </c>
      <c r="H89" s="160">
        <v>8</v>
      </c>
      <c r="I89" s="167">
        <f t="shared" si="0"/>
        <v>6.75</v>
      </c>
      <c r="J89" s="168"/>
      <c r="K89" s="168"/>
      <c r="L89" s="169" t="e">
        <f t="shared" si="2"/>
        <v>#N/A</v>
      </c>
      <c r="M89" s="169" t="e">
        <f t="shared" si="3"/>
        <v>#N/A</v>
      </c>
      <c r="N89" s="365">
        <v>6.75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6.875</v>
      </c>
      <c r="C90" s="165"/>
      <c r="D90" s="165"/>
      <c r="E90" s="166">
        <f>'DSCR (FL)'!C19</f>
        <v>100.90350000000007</v>
      </c>
      <c r="F90" s="166" t="e">
        <f>'DSCR (FL)'!D19</f>
        <v>#N/A</v>
      </c>
      <c r="G90" s="109" t="str">
        <f>IF('DSCR (FL)'!S24="DSCR 5-8", "DSCR 5-8", "")</f>
        <v/>
      </c>
      <c r="H90" s="160">
        <v>9</v>
      </c>
      <c r="I90" s="167">
        <f t="shared" si="0"/>
        <v>6.875</v>
      </c>
      <c r="J90" s="168"/>
      <c r="K90" s="168"/>
      <c r="L90" s="169" t="e">
        <f t="shared" si="2"/>
        <v>#N/A</v>
      </c>
      <c r="M90" s="169" t="e">
        <f t="shared" si="3"/>
        <v>#N/A</v>
      </c>
      <c r="N90" s="365">
        <v>6.875</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6.9989999999999997</v>
      </c>
      <c r="C91" s="165"/>
      <c r="D91" s="165"/>
      <c r="E91" s="166">
        <f>'DSCR (FL)'!C20</f>
        <v>101.30950000000006</v>
      </c>
      <c r="F91" s="166">
        <f>'DSCR (FL)'!D20</f>
        <v>96.674999999999997</v>
      </c>
      <c r="G91" s="109" t="str">
        <f>IF('DSCR (FL)'!S24="DSCR 5-8", "DSCR 5-8", "")</f>
        <v/>
      </c>
      <c r="H91" s="160">
        <v>10</v>
      </c>
      <c r="I91" s="167">
        <f t="shared" si="0"/>
        <v>6.9989999999999997</v>
      </c>
      <c r="J91" s="168"/>
      <c r="K91" s="168"/>
      <c r="L91" s="169" t="e">
        <f t="shared" si="2"/>
        <v>#N/A</v>
      </c>
      <c r="M91" s="169" t="e">
        <f t="shared" si="3"/>
        <v>#N/A</v>
      </c>
      <c r="N91" s="365">
        <v>6.9989999999999997</v>
      </c>
      <c r="P91" s="159"/>
      <c r="Y91" s="363" t="s">
        <v>272</v>
      </c>
      <c r="Z91" s="363"/>
      <c r="AA91" s="363" t="s">
        <v>317</v>
      </c>
      <c r="AG91" s="391"/>
      <c r="AH91" s="121"/>
      <c r="AI91" s="121"/>
      <c r="AJ91" s="121"/>
      <c r="AK91" s="121"/>
      <c r="AL91" s="121"/>
      <c r="AM91" s="121"/>
      <c r="AN91" s="121"/>
      <c r="AO91" s="121"/>
      <c r="AP91" s="121"/>
    </row>
    <row r="92" spans="2:48" x14ac:dyDescent="0.25">
      <c r="B92" s="164">
        <f>'DSCR (FL)'!B21</f>
        <v>7.125</v>
      </c>
      <c r="C92" s="165"/>
      <c r="D92" s="165"/>
      <c r="E92" s="166">
        <f>'DSCR (FL)'!C21</f>
        <v>101.68450000000006</v>
      </c>
      <c r="F92" s="166">
        <f>'DSCR (FL)'!D21</f>
        <v>97.05</v>
      </c>
      <c r="H92" s="160">
        <v>11</v>
      </c>
      <c r="I92" s="167">
        <f t="shared" si="0"/>
        <v>7.125</v>
      </c>
      <c r="J92" s="168"/>
      <c r="K92" s="168"/>
      <c r="L92" s="169" t="e">
        <f t="shared" si="2"/>
        <v>#N/A</v>
      </c>
      <c r="M92" s="169" t="e">
        <f t="shared" si="3"/>
        <v>#N/A</v>
      </c>
      <c r="N92" s="365">
        <v>7.125</v>
      </c>
      <c r="P92" s="159"/>
      <c r="Y92" s="363" t="s">
        <v>272</v>
      </c>
      <c r="Z92" s="363"/>
      <c r="AA92" s="363" t="s">
        <v>325</v>
      </c>
      <c r="AM92" s="121"/>
      <c r="AN92" s="121"/>
      <c r="AO92" s="121"/>
      <c r="AP92" s="121"/>
      <c r="AQ92" s="121"/>
      <c r="AR92" s="121"/>
      <c r="AS92" s="121"/>
      <c r="AT92" s="121"/>
      <c r="AU92" s="121"/>
      <c r="AV92" s="121"/>
    </row>
    <row r="93" spans="2:48" x14ac:dyDescent="0.25">
      <c r="B93" s="164">
        <f>'DSCR (FL)'!B22</f>
        <v>7.25</v>
      </c>
      <c r="C93" s="165"/>
      <c r="D93" s="165"/>
      <c r="E93" s="166">
        <f>'DSCR (FL)'!C22</f>
        <v>102.05950000000006</v>
      </c>
      <c r="F93" s="166">
        <f>'DSCR (FL)'!D22</f>
        <v>97.55</v>
      </c>
      <c r="H93" s="160">
        <v>12</v>
      </c>
      <c r="I93" s="167">
        <f t="shared" si="0"/>
        <v>7.25</v>
      </c>
      <c r="J93" s="168"/>
      <c r="K93" s="168"/>
      <c r="L93" s="169" t="e">
        <f t="shared" si="2"/>
        <v>#N/A</v>
      </c>
      <c r="M93" s="169" t="e">
        <f t="shared" si="3"/>
        <v>#N/A</v>
      </c>
      <c r="N93" s="365">
        <v>7.25</v>
      </c>
      <c r="Y93" s="363" t="s">
        <v>272</v>
      </c>
      <c r="Z93" s="363"/>
      <c r="AA93" s="363" t="s">
        <v>296</v>
      </c>
      <c r="AM93" s="121"/>
      <c r="AN93" s="121"/>
      <c r="AO93" s="121"/>
      <c r="AP93" s="121"/>
      <c r="AQ93" s="121"/>
      <c r="AR93" s="121"/>
      <c r="AS93" s="121"/>
      <c r="AT93" s="121"/>
      <c r="AU93" s="121"/>
      <c r="AV93" s="121"/>
    </row>
    <row r="94" spans="2:48" ht="15.75" thickBot="1" x14ac:dyDescent="0.3">
      <c r="B94" s="164">
        <f>'DSCR (FL)'!B23</f>
        <v>7.375</v>
      </c>
      <c r="C94" s="165"/>
      <c r="D94" s="165"/>
      <c r="E94" s="166">
        <f>'DSCR (FL)'!C23</f>
        <v>102.43450000000006</v>
      </c>
      <c r="F94" s="166">
        <f>'DSCR (FL)'!D23</f>
        <v>97.924999999999997</v>
      </c>
      <c r="G94" s="159" t="e">
        <f>SUM('DSCR (FL)'!T12:T35)+B67</f>
        <v>#N/A</v>
      </c>
      <c r="H94" s="160">
        <v>13</v>
      </c>
      <c r="I94" s="167">
        <f t="shared" si="0"/>
        <v>7.375</v>
      </c>
      <c r="J94" s="168"/>
      <c r="K94" s="168"/>
      <c r="L94" s="169" t="e">
        <f t="shared" si="2"/>
        <v>#N/A</v>
      </c>
      <c r="M94" s="169" t="e">
        <f t="shared" si="3"/>
        <v>#N/A</v>
      </c>
      <c r="N94" s="365">
        <v>7.375</v>
      </c>
      <c r="Y94" s="363" t="s">
        <v>272</v>
      </c>
      <c r="Z94" s="363"/>
      <c r="AA94" s="363" t="s">
        <v>339</v>
      </c>
      <c r="AG94" s="605" t="s">
        <v>781</v>
      </c>
      <c r="AH94" s="606"/>
      <c r="AI94" s="606"/>
      <c r="AM94" s="121"/>
      <c r="AN94" s="121"/>
      <c r="AO94" s="121"/>
      <c r="AP94" s="121"/>
      <c r="AQ94" s="121"/>
      <c r="AR94" s="121"/>
      <c r="AS94" s="121"/>
    </row>
    <row r="95" spans="2:48" x14ac:dyDescent="0.25">
      <c r="B95" s="164">
        <f>'DSCR (FL)'!B24</f>
        <v>7.4989999999999997</v>
      </c>
      <c r="C95" s="165"/>
      <c r="D95" s="165"/>
      <c r="E95" s="166">
        <f>'DSCR (FL)'!C24</f>
        <v>102.77850000000007</v>
      </c>
      <c r="F95" s="166">
        <f>'DSCR (FL)'!D24</f>
        <v>98.55</v>
      </c>
      <c r="H95" s="160">
        <v>14</v>
      </c>
      <c r="I95" s="167">
        <f t="shared" si="0"/>
        <v>7.4989999999999997</v>
      </c>
      <c r="J95" s="168"/>
      <c r="K95" s="168"/>
      <c r="L95" s="169" t="e">
        <f t="shared" si="2"/>
        <v>#N/A</v>
      </c>
      <c r="M95" s="169" t="e">
        <f t="shared" si="3"/>
        <v>#N/A</v>
      </c>
      <c r="N95" s="365">
        <v>7.4989999999999997</v>
      </c>
      <c r="Y95" s="363" t="s">
        <v>272</v>
      </c>
      <c r="Z95" s="368"/>
      <c r="AA95" s="363" t="s">
        <v>346</v>
      </c>
      <c r="AG95" t="s">
        <v>788</v>
      </c>
      <c r="AH95" s="170" t="str" cm="1">
        <f t="array" ref="AH95">IF(AND(OR('DSCR (FL)'!$S$12=$A$3:$A$6),'DSCR (FL)'!$S$24='Feed(DSCR)'!$K$10,OR('DSCR (FL)'!$S$20=$G$8:$G$12),OR('DSCR (FL)'!$S$11=$B$7:$B$11),OR('DSCR (FL)'!$S$21='Feed(DSCR)'!$J$3)),NA(),"")</f>
        <v/>
      </c>
      <c r="AI95" s="109" t="s">
        <v>801</v>
      </c>
      <c r="AM95" s="121"/>
      <c r="AN95" s="121"/>
      <c r="AO95" s="121"/>
      <c r="AP95" s="121"/>
      <c r="AQ95" s="121"/>
      <c r="AR95" s="121"/>
      <c r="AS95" s="121"/>
    </row>
    <row r="96" spans="2:48" x14ac:dyDescent="0.25">
      <c r="B96" s="164">
        <f>'DSCR (FL)'!B25</f>
        <v>7.625</v>
      </c>
      <c r="C96" s="165"/>
      <c r="D96" s="165"/>
      <c r="E96" s="166">
        <f>'DSCR (FL)'!C25</f>
        <v>103.09050000000006</v>
      </c>
      <c r="F96" s="166">
        <f>'DSCR (FL)'!D25</f>
        <v>99.05</v>
      </c>
      <c r="H96" s="160">
        <v>15</v>
      </c>
      <c r="I96" s="167">
        <f t="shared" si="0"/>
        <v>7.625</v>
      </c>
      <c r="J96" s="168"/>
      <c r="K96" s="168"/>
      <c r="L96" s="169" t="e">
        <f t="shared" si="2"/>
        <v>#N/A</v>
      </c>
      <c r="M96" s="169" t="e">
        <f t="shared" si="3"/>
        <v>#N/A</v>
      </c>
      <c r="N96" s="365">
        <v>7.625</v>
      </c>
      <c r="Y96" s="363" t="s">
        <v>272</v>
      </c>
      <c r="Z96" s="363"/>
      <c r="AA96" s="363" t="s">
        <v>352</v>
      </c>
      <c r="AG96" t="s">
        <v>789</v>
      </c>
      <c r="AH96" s="170" t="str" cm="1">
        <f t="array" ref="AH96">IF(AND(OR('DSCR (FL)'!$S$12=$A$7),'DSCR (FL)'!$S$24='Feed(DSCR)'!$K$10,OR('DSCR (FL)'!$S$20=$G$8:$G$12),OR('DSCR (FL)'!$S$11='Feed(DSCR)'!$B$7:$B$11),OR('DSCR (FL)'!$S$21=$J$3)),NA(),"")</f>
        <v/>
      </c>
      <c r="AI96" s="109" t="s">
        <v>802</v>
      </c>
      <c r="AK96"/>
      <c r="AL96"/>
      <c r="AM96"/>
      <c r="AN96"/>
      <c r="AO96"/>
      <c r="AP96"/>
      <c r="AQ96"/>
      <c r="AR96"/>
      <c r="AS96"/>
      <c r="AT96"/>
      <c r="AU96"/>
      <c r="AV96"/>
    </row>
    <row r="97" spans="2:48" x14ac:dyDescent="0.25">
      <c r="B97" s="164">
        <f>'DSCR (FL)'!B26</f>
        <v>7.75</v>
      </c>
      <c r="C97" s="165"/>
      <c r="D97" s="165"/>
      <c r="E97" s="166">
        <f>'DSCR (FL)'!C26</f>
        <v>103.37150000000005</v>
      </c>
      <c r="F97" s="166">
        <f>'DSCR (FL)'!D26</f>
        <v>99.3</v>
      </c>
      <c r="G97" s="159"/>
      <c r="H97" s="160">
        <v>16</v>
      </c>
      <c r="I97" s="167">
        <f t="shared" si="0"/>
        <v>7.75</v>
      </c>
      <c r="J97" s="168"/>
      <c r="K97" s="168"/>
      <c r="L97" s="169" t="e">
        <f t="shared" si="2"/>
        <v>#N/A</v>
      </c>
      <c r="M97" s="169" t="e">
        <f t="shared" si="3"/>
        <v>#N/A</v>
      </c>
      <c r="N97" s="365">
        <v>7.75</v>
      </c>
      <c r="Y97" s="363" t="s">
        <v>272</v>
      </c>
      <c r="Z97" s="368"/>
      <c r="AA97" s="363" t="s">
        <v>360</v>
      </c>
      <c r="AG97" s="109" t="s">
        <v>790</v>
      </c>
      <c r="AH97" s="170" t="str" cm="1">
        <f t="array" ref="AH97">IF(AND(OR('DSCR (FL)'!$S$12=$A$8),'DSCR (FL)'!$S$24='Feed(DSCR)'!$K$10,OR('DSCR (FL)'!$S$20=$G$8:$G$12),OR('DSCR (FL)'!$S$11=$B$3:$B$11),OR('DSCR (FL)'!$S$21=$J$3)),NA(),"")</f>
        <v/>
      </c>
      <c r="AI97" s="109" t="s">
        <v>803</v>
      </c>
      <c r="AK97"/>
      <c r="AL97"/>
      <c r="AM97"/>
      <c r="AN97"/>
      <c r="AO97"/>
      <c r="AP97"/>
      <c r="AQ97"/>
      <c r="AR97"/>
      <c r="AS97"/>
      <c r="AT97"/>
      <c r="AU97"/>
      <c r="AV97"/>
    </row>
    <row r="98" spans="2:48" x14ac:dyDescent="0.25">
      <c r="B98" s="164">
        <f>'DSCR (FL)'!B27</f>
        <v>7.875</v>
      </c>
      <c r="C98" s="165"/>
      <c r="D98" s="165"/>
      <c r="E98" s="166">
        <f>'DSCR (FL)'!C27</f>
        <v>103.65350000000007</v>
      </c>
      <c r="F98" s="166">
        <f>'DSCR (FL)'!D27</f>
        <v>99.55</v>
      </c>
      <c r="G98" s="159"/>
      <c r="H98" s="160">
        <v>17</v>
      </c>
      <c r="I98" s="167">
        <f t="shared" si="0"/>
        <v>7.875</v>
      </c>
      <c r="J98" s="168"/>
      <c r="K98" s="168"/>
      <c r="L98" s="169" t="e">
        <f t="shared" si="2"/>
        <v>#N/A</v>
      </c>
      <c r="M98" s="169" t="e">
        <f t="shared" si="3"/>
        <v>#N/A</v>
      </c>
      <c r="N98" s="365">
        <v>7.875</v>
      </c>
      <c r="Y98" s="363" t="s">
        <v>272</v>
      </c>
      <c r="Z98" s="368"/>
      <c r="AA98" s="363" t="s">
        <v>632</v>
      </c>
      <c r="AG98" s="613" t="s">
        <v>782</v>
      </c>
      <c r="AH98" s="170" t="str" cm="1">
        <f t="array" ref="AH98">IF(AND(OR('DSCR (FL)'!$S$12=$A$3:$A$6),'DSCR (FL)'!$S$24='Feed(DSCR)'!$K$10,OR('DSCR (FL)'!$S$20=$G$8:$G$12),OR('DSCR (FL)'!$S$11=$B$6:$B$11),OR('DSCR (FL)'!$S$21='Feed(DSCR)'!$J$3)),NA(),"")</f>
        <v/>
      </c>
      <c r="AI98" s="147" t="s">
        <v>804</v>
      </c>
      <c r="AK98"/>
      <c r="AL98"/>
      <c r="AM98"/>
      <c r="AN98"/>
      <c r="AO98"/>
      <c r="AP98"/>
      <c r="AQ98"/>
      <c r="AR98"/>
      <c r="AS98"/>
      <c r="AT98"/>
      <c r="AU98"/>
      <c r="AV98"/>
    </row>
    <row r="99" spans="2:48" x14ac:dyDescent="0.25">
      <c r="B99" s="164">
        <f>'DSCR (FL)'!B28</f>
        <v>7.9989999999999997</v>
      </c>
      <c r="C99" s="165"/>
      <c r="D99" s="165"/>
      <c r="E99" s="166">
        <f>'DSCR (FL)'!C28</f>
        <v>103.93450000000006</v>
      </c>
      <c r="F99" s="166">
        <f>'DSCR (FL)'!D28</f>
        <v>100.05</v>
      </c>
      <c r="H99" s="160">
        <v>18</v>
      </c>
      <c r="I99" s="172">
        <f t="shared" si="0"/>
        <v>7.9989999999999997</v>
      </c>
      <c r="J99" s="173"/>
      <c r="K99" s="173"/>
      <c r="L99" s="174" t="e">
        <f t="shared" si="2"/>
        <v>#N/A</v>
      </c>
      <c r="M99" s="174" t="e">
        <f t="shared" si="3"/>
        <v>#N/A</v>
      </c>
      <c r="N99" s="365">
        <v>7.9989999999999997</v>
      </c>
      <c r="Y99" s="363" t="s">
        <v>272</v>
      </c>
      <c r="Z99" s="368"/>
      <c r="AA99" s="363" t="s">
        <v>383</v>
      </c>
      <c r="AG99" s="613" t="s">
        <v>783</v>
      </c>
      <c r="AH99" s="170" t="str" cm="1">
        <f t="array" ref="AH99">IF(AND(OR('DSCR (FL)'!$S$12=$A$7),'DSCR (FL)'!$S$24='Feed(DSCR)'!$K$10,OR('DSCR (FL)'!$S$20=$G$8:$G$12),OR('DSCR (FL)'!$S$11=$B$6:$B$11),OR('DSCR (FL)'!$S$21=$J$4)),NA(),"")</f>
        <v/>
      </c>
      <c r="AI99" s="147" t="s">
        <v>805</v>
      </c>
      <c r="AK99"/>
      <c r="AL99"/>
      <c r="AM99"/>
      <c r="AN99"/>
      <c r="AO99"/>
      <c r="AP99"/>
      <c r="AQ99"/>
      <c r="AR99"/>
      <c r="AS99"/>
      <c r="AT99"/>
      <c r="AU99"/>
      <c r="AV99"/>
    </row>
    <row r="100" spans="2:48" x14ac:dyDescent="0.25">
      <c r="B100" s="164">
        <f>'DSCR (FL)'!B29</f>
        <v>8.125</v>
      </c>
      <c r="C100" s="165"/>
      <c r="D100" s="165"/>
      <c r="E100" s="166">
        <f>'DSCR (FL)'!C29</f>
        <v>104.21550000000006</v>
      </c>
      <c r="F100" s="166">
        <f>'DSCR (FL)'!D29</f>
        <v>100.3</v>
      </c>
      <c r="H100" s="160">
        <v>19</v>
      </c>
      <c r="I100" s="172">
        <f t="shared" si="0"/>
        <v>8.125</v>
      </c>
      <c r="J100" s="173"/>
      <c r="K100" s="173"/>
      <c r="L100" s="174" t="e">
        <f t="shared" si="2"/>
        <v>#N/A</v>
      </c>
      <c r="M100" s="174" t="e">
        <f t="shared" si="3"/>
        <v>#N/A</v>
      </c>
      <c r="N100" s="365">
        <v>8.125</v>
      </c>
      <c r="Y100" s="363" t="s">
        <v>272</v>
      </c>
      <c r="Z100" s="368"/>
      <c r="AA100" s="363" t="s">
        <v>393</v>
      </c>
      <c r="AG100" s="147" t="s">
        <v>784</v>
      </c>
      <c r="AH100" s="170" t="str" cm="1">
        <f t="array" ref="AH100">IF(AND(OR('DSCR (FL)'!$S$12=$A$8),'DSCR (FL)'!$S$24='Feed(DSCR)'!$K$10,OR('DSCR (FL)'!$S$20=$G$8:$G$12),OR('DSCR (FL)'!$S$11=$B$3:$B$11),OR('DSCR (FL)'!$S$21=$J$4)),NA(),"")</f>
        <v/>
      </c>
      <c r="AI100" s="147" t="s">
        <v>806</v>
      </c>
      <c r="AK100"/>
      <c r="AL100"/>
      <c r="AM100"/>
      <c r="AN100"/>
      <c r="AO100"/>
      <c r="AP100"/>
      <c r="AQ100"/>
      <c r="AR100"/>
      <c r="AS100"/>
      <c r="AT100"/>
      <c r="AU100"/>
      <c r="AV100"/>
    </row>
    <row r="101" spans="2:48" x14ac:dyDescent="0.25">
      <c r="B101" s="164">
        <f>'DSCR (FL)'!B30</f>
        <v>8.25</v>
      </c>
      <c r="C101" s="165"/>
      <c r="D101" s="165"/>
      <c r="E101" s="166">
        <f>'DSCR (FL)'!C30</f>
        <v>104.49650000000005</v>
      </c>
      <c r="F101" s="166">
        <f>'DSCR (FL)'!D30</f>
        <v>100.55</v>
      </c>
      <c r="H101" s="160">
        <v>20</v>
      </c>
      <c r="I101" s="167">
        <f t="shared" si="0"/>
        <v>8.25</v>
      </c>
      <c r="J101" s="168"/>
      <c r="K101" s="168"/>
      <c r="L101" s="169" t="e">
        <f t="shared" si="2"/>
        <v>#N/A</v>
      </c>
      <c r="M101" s="169" t="e">
        <f t="shared" si="3"/>
        <v>#N/A</v>
      </c>
      <c r="N101" s="365">
        <v>8.25</v>
      </c>
      <c r="Y101" s="363" t="s">
        <v>272</v>
      </c>
      <c r="Z101" s="368"/>
      <c r="AA101" s="363" t="s">
        <v>404</v>
      </c>
      <c r="AG101" t="s">
        <v>791</v>
      </c>
      <c r="AH101" s="170" t="str" cm="1">
        <f t="array" ref="AH101">IF(AND(OR('DSCR (FL)'!$S$12=$A$3:$A$6),'DSCR (FL)'!$S$24='Feed(DSCR)'!$K$10,OR('DSCR (FL)'!$S$20=$G$8:$G$12),OR('DSCR (FL)'!$S$11=$B$6:$B$11),OR('DSCR (FL)'!$S$21=$J$5)),NA(),"")</f>
        <v/>
      </c>
      <c r="AI101" s="109" t="s">
        <v>807</v>
      </c>
      <c r="AK101"/>
      <c r="AL101"/>
      <c r="AM101"/>
      <c r="AN101"/>
      <c r="AO101"/>
      <c r="AP101"/>
      <c r="AQ101"/>
      <c r="AR101"/>
      <c r="AS101"/>
      <c r="AT101"/>
      <c r="AU101"/>
      <c r="AV101"/>
    </row>
    <row r="102" spans="2:48" x14ac:dyDescent="0.25">
      <c r="B102" s="164">
        <f>'DSCR (FL)'!B31</f>
        <v>8.375</v>
      </c>
      <c r="C102" s="165"/>
      <c r="D102" s="165"/>
      <c r="E102" s="166">
        <f>'DSCR (FL)'!C31</f>
        <v>104.77850000000007</v>
      </c>
      <c r="F102" s="166">
        <f>'DSCR (FL)'!D31</f>
        <v>100.8</v>
      </c>
      <c r="H102" s="160">
        <v>21</v>
      </c>
      <c r="I102" s="167">
        <f t="shared" si="0"/>
        <v>8.375</v>
      </c>
      <c r="J102" s="168"/>
      <c r="K102" s="168"/>
      <c r="L102" s="169" t="e">
        <f t="shared" si="2"/>
        <v>#N/A</v>
      </c>
      <c r="M102" s="169" t="e">
        <f t="shared" si="3"/>
        <v>#N/A</v>
      </c>
      <c r="N102" s="365">
        <v>8.375</v>
      </c>
      <c r="Y102" s="363" t="s">
        <v>272</v>
      </c>
      <c r="Z102" s="368"/>
      <c r="AA102" s="363" t="s">
        <v>414</v>
      </c>
      <c r="AG102" t="s">
        <v>792</v>
      </c>
      <c r="AH102" s="170" t="str" cm="1">
        <f t="array" ref="AH102">IF(AND(OR('DSCR (FL)'!$S$12=$A$7),'DSCR (FL)'!$S$24='Feed(DSCR)'!$K$10,OR('DSCR (FL)'!$S$20=$G$8:$G$12),OR('DSCR (FL)'!$S$11=$B$6:$B$11),OR('DSCR (FL)'!$S$21=$J$5)),NA(),"")</f>
        <v/>
      </c>
      <c r="AI102" s="109" t="s">
        <v>808</v>
      </c>
      <c r="AK102"/>
      <c r="AL102"/>
      <c r="AM102"/>
      <c r="AN102"/>
      <c r="AO102"/>
      <c r="AP102"/>
      <c r="AQ102"/>
      <c r="AR102"/>
      <c r="AS102"/>
      <c r="AT102"/>
      <c r="AU102"/>
      <c r="AV102"/>
    </row>
    <row r="103" spans="2:48" x14ac:dyDescent="0.25">
      <c r="B103" s="164">
        <f>'DSCR (FL)'!B32</f>
        <v>8.4990000000000006</v>
      </c>
      <c r="C103" s="165"/>
      <c r="D103" s="165"/>
      <c r="E103" s="166">
        <f>'DSCR (FL)'!C32</f>
        <v>105.05950000000006</v>
      </c>
      <c r="F103" s="166">
        <f>'DSCR (FL)'!D32</f>
        <v>101.175</v>
      </c>
      <c r="H103" s="160">
        <v>22</v>
      </c>
      <c r="I103" s="167">
        <f t="shared" si="0"/>
        <v>8.4990000000000006</v>
      </c>
      <c r="J103" s="168"/>
      <c r="K103" s="168"/>
      <c r="L103" s="169" t="e">
        <f t="shared" si="2"/>
        <v>#N/A</v>
      </c>
      <c r="M103" s="169" t="e">
        <f t="shared" si="3"/>
        <v>#N/A</v>
      </c>
      <c r="N103" s="365">
        <v>8.4990000000000006</v>
      </c>
      <c r="Y103" s="363" t="s">
        <v>272</v>
      </c>
      <c r="Z103" s="368"/>
      <c r="AA103" s="363" t="s">
        <v>425</v>
      </c>
      <c r="AG103" s="109" t="s">
        <v>793</v>
      </c>
      <c r="AH103" s="170" t="str" cm="1">
        <f t="array" ref="AH103">IF(AND(OR('DSCR (FL)'!$S$12=$A$8),'DSCR (FL)'!$S$24='Feed(DSCR)'!$K$10,OR('DSCR (FL)'!$S$20=$G$8:$G$12),OR('DSCR (FL)'!$S$11=$B$3:$B$11),OR('DSCR (FL)'!$S$21=$J$5)),NA(),"")</f>
        <v/>
      </c>
      <c r="AI103" s="109" t="s">
        <v>809</v>
      </c>
      <c r="AK103"/>
      <c r="AL103"/>
      <c r="AM103"/>
      <c r="AN103"/>
      <c r="AO103"/>
      <c r="AP103"/>
      <c r="AQ103"/>
      <c r="AR103"/>
      <c r="AS103"/>
      <c r="AT103"/>
      <c r="AU103"/>
      <c r="AV103"/>
    </row>
    <row r="104" spans="2:48" x14ac:dyDescent="0.25">
      <c r="B104" s="164">
        <f>'DSCR (FL)'!B33</f>
        <v>8.625</v>
      </c>
      <c r="C104" s="165"/>
      <c r="D104" s="165"/>
      <c r="E104" s="166">
        <f>'DSCR (FL)'!C33</f>
        <v>105.30950000000006</v>
      </c>
      <c r="F104" s="166">
        <f>'DSCR (FL)'!D33</f>
        <v>101.55</v>
      </c>
      <c r="H104" s="160">
        <v>23</v>
      </c>
      <c r="I104" s="167">
        <f t="shared" si="0"/>
        <v>8.625</v>
      </c>
      <c r="J104" s="168"/>
      <c r="K104" s="168"/>
      <c r="L104" s="169" t="e">
        <f t="shared" si="2"/>
        <v>#N/A</v>
      </c>
      <c r="M104" s="169" t="e">
        <f t="shared" si="3"/>
        <v>#N/A</v>
      </c>
      <c r="N104" s="365">
        <v>8.625</v>
      </c>
      <c r="Y104" s="363" t="s">
        <v>272</v>
      </c>
      <c r="Z104" s="368"/>
      <c r="AA104" s="363" t="s">
        <v>433</v>
      </c>
      <c r="AG104" t="s">
        <v>794</v>
      </c>
      <c r="AH104" s="170" t="str" cm="1">
        <f t="array" ref="AH104">IF(AND(OR('DSCR (FL)'!$S$12=$A$3:$A$6),'DSCR (FL)'!$S$24='Feed(DSCR)'!$K$10,OR('DSCR (FL)'!$S$20=$G$9:$G$12),OR('DSCR (FL)'!$S$11=$B$6:$B$11),OR('DSCR (FL)'!$S$21=$J$3)),NA(),"")</f>
        <v/>
      </c>
      <c r="AI104" s="109" t="s">
        <v>810</v>
      </c>
      <c r="AK104"/>
      <c r="AL104"/>
      <c r="AM104"/>
      <c r="AN104"/>
      <c r="AO104"/>
      <c r="AP104"/>
      <c r="AQ104"/>
      <c r="AR104"/>
      <c r="AS104"/>
      <c r="AT104"/>
      <c r="AU104"/>
      <c r="AV104"/>
    </row>
    <row r="105" spans="2:48" x14ac:dyDescent="0.25">
      <c r="B105" s="164">
        <f>'DSCR (FL)'!B34</f>
        <v>8.75</v>
      </c>
      <c r="C105" s="165"/>
      <c r="D105" s="165"/>
      <c r="E105" s="166">
        <f>'DSCR (FL)'!C34</f>
        <v>105.55950000000006</v>
      </c>
      <c r="F105" s="166">
        <f>'DSCR (FL)'!D34</f>
        <v>101.8</v>
      </c>
      <c r="H105" s="160">
        <v>24</v>
      </c>
      <c r="I105" s="167">
        <f t="shared" si="0"/>
        <v>8.75</v>
      </c>
      <c r="J105" s="168"/>
      <c r="K105" s="168"/>
      <c r="L105" s="169" t="e">
        <f t="shared" si="2"/>
        <v>#N/A</v>
      </c>
      <c r="M105" s="169" t="e">
        <f t="shared" si="3"/>
        <v>#N/A</v>
      </c>
      <c r="N105" s="365">
        <v>8.75</v>
      </c>
      <c r="Y105" s="363" t="s">
        <v>272</v>
      </c>
      <c r="Z105" s="368"/>
      <c r="AA105" s="363" t="s">
        <v>441</v>
      </c>
      <c r="AG105" t="s">
        <v>795</v>
      </c>
      <c r="AH105" s="170" t="str" cm="1">
        <f t="array" ref="AH105">IF(AND(OR('DSCR (FL)'!$S$12=$A$7),'DSCR (FL)'!$S$24='Feed(DSCR)'!$K$10,OR('DSCR (FL)'!$S$20=$G$9:$G$12),OR('DSCR (FL)'!$S$11=$B$6:$B$11),OR('DSCR (FL)'!$S$21=$J$3)),NA(),"")</f>
        <v/>
      </c>
      <c r="AI105" s="109" t="s">
        <v>811</v>
      </c>
      <c r="AK105"/>
      <c r="AL105"/>
      <c r="AM105"/>
      <c r="AN105"/>
      <c r="AO105"/>
      <c r="AP105"/>
      <c r="AQ105"/>
      <c r="AR105"/>
      <c r="AS105"/>
      <c r="AT105"/>
      <c r="AU105"/>
      <c r="AV105"/>
    </row>
    <row r="106" spans="2:48" x14ac:dyDescent="0.25">
      <c r="B106" s="164">
        <f>'DSCR (FL)'!B35</f>
        <v>8.875</v>
      </c>
      <c r="C106" s="165"/>
      <c r="D106" s="165"/>
      <c r="E106" s="166">
        <f>'DSCR (FL)'!C35</f>
        <v>105.80950000000006</v>
      </c>
      <c r="F106" s="166">
        <f>'DSCR (FL)'!D35</f>
        <v>102.175</v>
      </c>
      <c r="H106" s="160">
        <v>25</v>
      </c>
      <c r="I106" s="167">
        <f t="shared" si="0"/>
        <v>8.875</v>
      </c>
      <c r="J106" s="168"/>
      <c r="K106" s="168"/>
      <c r="L106" s="169" t="e">
        <f t="shared" si="2"/>
        <v>#N/A</v>
      </c>
      <c r="M106" s="169" t="e">
        <f t="shared" si="3"/>
        <v>#N/A</v>
      </c>
      <c r="N106" s="365">
        <v>8.875</v>
      </c>
      <c r="Y106" s="363" t="s">
        <v>272</v>
      </c>
      <c r="Z106" s="368"/>
      <c r="AA106" s="363" t="s">
        <v>449</v>
      </c>
      <c r="AB106"/>
      <c r="AC106"/>
      <c r="AD106"/>
      <c r="AE106"/>
      <c r="AF106"/>
      <c r="AG106" s="109" t="s">
        <v>796</v>
      </c>
      <c r="AH106" s="170" t="str" cm="1">
        <f t="array" ref="AH106">IF(AND(OR('DSCR (FL)'!$S$12=$A$8),'DSCR (FL)'!$S$24='Feed(DSCR)'!$K$10,OR('DSCR (FL)'!$S$20=$G$7:$G$12),OR('DSCR (FL)'!$S$11=$B$3:$B$11),OR('DSCR (FL)'!$S$21=$J$3)),NA(),"")</f>
        <v/>
      </c>
      <c r="AI106" s="109" t="s">
        <v>812</v>
      </c>
      <c r="AJ106"/>
      <c r="AK106"/>
      <c r="AL106"/>
      <c r="AM106"/>
      <c r="AN106"/>
    </row>
    <row r="107" spans="2:48" x14ac:dyDescent="0.25">
      <c r="B107" s="164">
        <f>'DSCR (FL)'!B36</f>
        <v>8.9990000000000006</v>
      </c>
      <c r="C107" s="165"/>
      <c r="D107" s="165"/>
      <c r="E107" s="166">
        <f>'DSCR (FL)'!C36</f>
        <v>106.05950000000006</v>
      </c>
      <c r="F107" s="166">
        <f>'DSCR (FL)'!D36</f>
        <v>102.3</v>
      </c>
      <c r="H107" s="160">
        <v>26</v>
      </c>
      <c r="I107" s="167">
        <f t="shared" si="0"/>
        <v>8.9990000000000006</v>
      </c>
      <c r="J107" s="168"/>
      <c r="K107" s="168"/>
      <c r="L107" s="169" t="e">
        <f t="shared" si="2"/>
        <v>#N/A</v>
      </c>
      <c r="M107" s="169" t="e">
        <f t="shared" si="3"/>
        <v>#N/A</v>
      </c>
      <c r="N107" s="365">
        <v>8.9990000000000006</v>
      </c>
      <c r="Y107" s="363" t="s">
        <v>272</v>
      </c>
      <c r="Z107" s="363"/>
      <c r="AA107" s="363" t="s">
        <v>459</v>
      </c>
      <c r="AB107"/>
      <c r="AC107"/>
      <c r="AD107"/>
      <c r="AE107"/>
      <c r="AF107"/>
      <c r="AG107" s="613" t="s">
        <v>785</v>
      </c>
      <c r="AH107" s="170" t="str" cm="1">
        <f t="array" ref="AH107">IF(AND(OR('DSCR (FL)'!$S$12='Feed(DSCR)'!$A$3:$A$6),'DSCR (FL)'!$S$24='Feed(DSCR)'!$K$10,OR('DSCR (FL)'!$S$20=$G$9:$G$12),OR('DSCR (FL)'!$S$11=$B$5:$B$11),OR('DSCR (FL)'!$S$21=$J$4)),NA(),"")</f>
        <v/>
      </c>
      <c r="AI107" s="147" t="s">
        <v>813</v>
      </c>
      <c r="AJ107"/>
      <c r="AK107"/>
      <c r="AL107"/>
      <c r="AM107"/>
      <c r="AN107"/>
    </row>
    <row r="108" spans="2:48" x14ac:dyDescent="0.25">
      <c r="B108" s="164">
        <f>'DSCR (FL)'!B37</f>
        <v>9.125</v>
      </c>
      <c r="C108" s="165"/>
      <c r="D108" s="165"/>
      <c r="E108" s="166">
        <f>'DSCR (FL)'!C37</f>
        <v>106.30950000000006</v>
      </c>
      <c r="F108" s="166">
        <f>'DSCR (FL)'!D37</f>
        <v>102.675</v>
      </c>
      <c r="H108" s="160">
        <v>27</v>
      </c>
      <c r="I108" s="167">
        <f t="shared" si="0"/>
        <v>9.125</v>
      </c>
      <c r="J108" s="168"/>
      <c r="K108" s="168"/>
      <c r="L108" s="169" t="e">
        <f t="shared" si="2"/>
        <v>#N/A</v>
      </c>
      <c r="M108" s="169" t="e">
        <f t="shared" si="3"/>
        <v>#N/A</v>
      </c>
      <c r="N108" s="365">
        <v>9.125</v>
      </c>
      <c r="Y108" s="363" t="s">
        <v>272</v>
      </c>
      <c r="Z108" s="363"/>
      <c r="AA108" s="363" t="s">
        <v>468</v>
      </c>
      <c r="AB108"/>
      <c r="AC108"/>
      <c r="AD108"/>
      <c r="AE108"/>
      <c r="AF108"/>
      <c r="AG108" s="613" t="s">
        <v>786</v>
      </c>
      <c r="AH108" s="170" t="str" cm="1">
        <f t="array" ref="AH108">IF(AND(OR('DSCR (FL)'!$S$12=$A$7),'DSCR (FL)'!$S$24='Feed(DSCR)'!$K$10,OR('DSCR (FL)'!$S$20=$G$9:$G$12),OR('DSCR (FL)'!$S$11=$B$5:$B$11),OR('DSCR (FL)'!$S$21=$J$4)),NA(),"")</f>
        <v/>
      </c>
      <c r="AI108" s="147" t="s">
        <v>814</v>
      </c>
      <c r="AJ108"/>
      <c r="AK108"/>
      <c r="AL108"/>
      <c r="AM108"/>
      <c r="AN108"/>
    </row>
    <row r="109" spans="2:48" x14ac:dyDescent="0.25">
      <c r="B109" s="164">
        <f>'DSCR (FL)'!B38</f>
        <v>9.25</v>
      </c>
      <c r="C109" s="165"/>
      <c r="D109" s="165"/>
      <c r="E109" s="166">
        <f>'DSCR (FL)'!C38</f>
        <v>106.43450000000006</v>
      </c>
      <c r="F109" s="166">
        <f>'DSCR (FL)'!D38</f>
        <v>102.925</v>
      </c>
      <c r="H109" s="160">
        <v>28</v>
      </c>
      <c r="I109" s="167">
        <f t="shared" si="0"/>
        <v>9.25</v>
      </c>
      <c r="J109" s="168"/>
      <c r="K109" s="168"/>
      <c r="L109" s="169" t="e">
        <f t="shared" si="2"/>
        <v>#N/A</v>
      </c>
      <c r="M109" s="169" t="e">
        <f t="shared" si="3"/>
        <v>#N/A</v>
      </c>
      <c r="N109" s="365">
        <v>9.25</v>
      </c>
      <c r="Y109" s="363" t="s">
        <v>272</v>
      </c>
      <c r="Z109" s="363"/>
      <c r="AA109" s="363" t="s">
        <v>477</v>
      </c>
      <c r="AB109"/>
      <c r="AC109"/>
      <c r="AD109"/>
      <c r="AE109"/>
      <c r="AF109"/>
      <c r="AG109" s="147" t="s">
        <v>787</v>
      </c>
      <c r="AH109" s="170" t="str" cm="1">
        <f t="array" ref="AH109">IF(AND(OR('DSCR (FL)'!$S$12=$A$8),'DSCR (FL)'!$S$24='Feed(DSCR)'!$K$10,OR('DSCR (FL)'!$S$20=$G$9:$G$12),OR('DSCR (FL)'!$S$11=$B$3:$B$11),OR('DSCR (FL)'!$S$21=$J$4)),NA(),"")</f>
        <v/>
      </c>
      <c r="AI109" s="147" t="s">
        <v>815</v>
      </c>
      <c r="AJ109"/>
      <c r="AK109"/>
      <c r="AL109"/>
      <c r="AM109"/>
      <c r="AN109"/>
    </row>
    <row r="110" spans="2:48" x14ac:dyDescent="0.25">
      <c r="B110" s="164">
        <f>'DSCR (FL)'!B39</f>
        <v>9.375</v>
      </c>
      <c r="C110" s="165"/>
      <c r="D110" s="165"/>
      <c r="E110" s="166">
        <f>'DSCR (FL)'!C39</f>
        <v>106.55950000000006</v>
      </c>
      <c r="F110" s="166">
        <f>'DSCR (FL)'!D39</f>
        <v>103.3</v>
      </c>
      <c r="H110" s="160">
        <v>29</v>
      </c>
      <c r="I110" s="167">
        <f t="shared" si="0"/>
        <v>9.375</v>
      </c>
      <c r="J110" s="168"/>
      <c r="K110" s="168"/>
      <c r="L110" s="169" t="e">
        <f t="shared" si="2"/>
        <v>#N/A</v>
      </c>
      <c r="M110" s="169" t="e">
        <f t="shared" si="3"/>
        <v>#N/A</v>
      </c>
      <c r="N110" s="365">
        <v>9.375</v>
      </c>
      <c r="Y110" s="363" t="s">
        <v>272</v>
      </c>
      <c r="Z110" s="363"/>
      <c r="AA110" s="363" t="s">
        <v>485</v>
      </c>
      <c r="AB110"/>
      <c r="AC110"/>
      <c r="AD110"/>
      <c r="AE110"/>
      <c r="AF110"/>
      <c r="AG110" t="s">
        <v>797</v>
      </c>
      <c r="AH110" s="170" t="str" cm="1">
        <f t="array" ref="AH110">IF(AND(OR('DSCR (FL)'!$S$12='Feed(DSCR)'!$A$3:$A$6),'DSCR (FL)'!$S$24='Feed(DSCR)'!$K$10,OR('DSCR (FL)'!$S$20=$G$9:$G$12),OR('DSCR (FL)'!$S$11=$B$3:$B$11),OR('DSCR (FL)'!$S$21=$J$5)),NA(),"")</f>
        <v/>
      </c>
      <c r="AI110" s="109" t="s">
        <v>816</v>
      </c>
      <c r="AJ110"/>
      <c r="AK110"/>
      <c r="AL110"/>
      <c r="AM110"/>
      <c r="AN110"/>
    </row>
    <row r="111" spans="2:48" x14ac:dyDescent="0.25">
      <c r="B111" s="164">
        <f>'DSCR (FL)'!B40</f>
        <v>9.4990000000000006</v>
      </c>
      <c r="C111" s="165"/>
      <c r="D111" s="165"/>
      <c r="E111" s="166">
        <f>'DSCR (FL)'!C40</f>
        <v>106.68450000000006</v>
      </c>
      <c r="F111" s="166">
        <f>'DSCR (FL)'!D40</f>
        <v>103.675</v>
      </c>
      <c r="H111" s="160">
        <v>30</v>
      </c>
      <c r="I111" s="167">
        <f t="shared" si="0"/>
        <v>9.4990000000000006</v>
      </c>
      <c r="J111" s="168"/>
      <c r="K111" s="168"/>
      <c r="L111" s="169" t="e">
        <f t="shared" si="2"/>
        <v>#N/A</v>
      </c>
      <c r="M111" s="169" t="e">
        <f t="shared" si="3"/>
        <v>#N/A</v>
      </c>
      <c r="N111" s="365">
        <v>9.4990000000000006</v>
      </c>
      <c r="Y111" s="363" t="s">
        <v>272</v>
      </c>
      <c r="Z111" s="368"/>
      <c r="AA111" s="363" t="s">
        <v>495</v>
      </c>
      <c r="AB111"/>
      <c r="AC111"/>
      <c r="AD111"/>
      <c r="AE111"/>
      <c r="AF111"/>
      <c r="AG111" t="s">
        <v>798</v>
      </c>
      <c r="AH111" s="170" t="str" cm="1">
        <f t="array" ref="AH111">IF(AND(OR('DSCR (FL)'!$S$12=$A$7),'DSCR (FL)'!$S$24='Feed(DSCR)'!$K$10,OR('DSCR (FL)'!$S$20=$G$9:$G$12),OR('DSCR (FL)'!$S$11=$B$3:$B$11),OR('DSCR (FL)'!$S$21=$J$5)),NA(),"")</f>
        <v/>
      </c>
      <c r="AI111" s="109" t="s">
        <v>817</v>
      </c>
      <c r="AJ111"/>
      <c r="AK111"/>
      <c r="AL111"/>
      <c r="AM111"/>
      <c r="AN111"/>
    </row>
    <row r="112" spans="2:48" x14ac:dyDescent="0.25">
      <c r="B112" s="164">
        <f>'DSCR (FL)'!B41</f>
        <v>9.625</v>
      </c>
      <c r="C112" s="165"/>
      <c r="D112" s="165"/>
      <c r="E112" s="166">
        <f>'DSCR (FL)'!C41</f>
        <v>106.80950000000006</v>
      </c>
      <c r="F112" s="166">
        <f>'DSCR (FL)'!D41</f>
        <v>103.925</v>
      </c>
      <c r="H112" s="160">
        <v>31</v>
      </c>
      <c r="I112" s="167">
        <f t="shared" si="0"/>
        <v>9.625</v>
      </c>
      <c r="J112" s="168"/>
      <c r="K112" s="168"/>
      <c r="L112" s="169" t="e">
        <f t="shared" si="2"/>
        <v>#N/A</v>
      </c>
      <c r="M112" s="169" t="e">
        <f t="shared" si="3"/>
        <v>#N/A</v>
      </c>
      <c r="N112" s="365">
        <v>9.625</v>
      </c>
      <c r="Y112" s="363" t="s">
        <v>272</v>
      </c>
      <c r="Z112" s="368"/>
      <c r="AA112" s="363" t="s">
        <v>503</v>
      </c>
      <c r="AB112"/>
      <c r="AC112"/>
      <c r="AD112"/>
      <c r="AE112"/>
      <c r="AF112"/>
      <c r="AG112" s="109" t="s">
        <v>799</v>
      </c>
      <c r="AH112" s="170" t="str" cm="1">
        <f t="array" ref="AH112">IF(AND(OR('DSCR (FL)'!$S$12=$A$8),'DSCR (FL)'!$S$24='Feed(DSCR)'!$K$10,OR('DSCR (FL)'!$S$20=$G$9:$G$12),OR('DSCR (FL)'!$S$11=$B$3:$B$11),OR('DSCR (FL)'!$S$21=$J$5)),NA(),"")</f>
        <v/>
      </c>
      <c r="AI112" s="109" t="s">
        <v>818</v>
      </c>
      <c r="AJ112"/>
      <c r="AK112"/>
      <c r="AL112"/>
      <c r="AM112"/>
      <c r="AN112"/>
    </row>
    <row r="113" spans="2:40" x14ac:dyDescent="0.25">
      <c r="B113" s="164">
        <f>'DSCR (FL)'!B42</f>
        <v>9.75</v>
      </c>
      <c r="C113" s="165"/>
      <c r="D113" s="165"/>
      <c r="E113" s="166">
        <f>'DSCR (FL)'!C42</f>
        <v>106.93450000000006</v>
      </c>
      <c r="F113" s="166">
        <f>'DSCR (FL)'!D42</f>
        <v>104.175</v>
      </c>
      <c r="H113" s="160">
        <v>32</v>
      </c>
      <c r="I113" s="167">
        <f t="shared" si="0"/>
        <v>9.75</v>
      </c>
      <c r="J113" s="168"/>
      <c r="K113" s="168"/>
      <c r="L113" s="169" t="e">
        <f t="shared" si="2"/>
        <v>#N/A</v>
      </c>
      <c r="M113" s="169" t="e">
        <f t="shared" si="3"/>
        <v>#N/A</v>
      </c>
      <c r="N113" s="365">
        <v>9.75</v>
      </c>
      <c r="Y113" s="363" t="s">
        <v>272</v>
      </c>
      <c r="Z113" s="368"/>
      <c r="AA113" s="363" t="s">
        <v>511</v>
      </c>
      <c r="AB113"/>
      <c r="AC113"/>
      <c r="AD113"/>
      <c r="AE113"/>
      <c r="AF113"/>
      <c r="AG113"/>
      <c r="AH113"/>
      <c r="AI113"/>
      <c r="AJ113"/>
      <c r="AK113"/>
      <c r="AL113"/>
      <c r="AM113"/>
      <c r="AN113"/>
    </row>
    <row r="114" spans="2:40" x14ac:dyDescent="0.25">
      <c r="B114" s="164">
        <f>'DSCR (FL)'!B43</f>
        <v>9.875</v>
      </c>
      <c r="C114" s="165"/>
      <c r="D114" s="165"/>
      <c r="E114" s="166">
        <f>'DSCR (FL)'!C43</f>
        <v>107.05950000000006</v>
      </c>
      <c r="F114" s="166">
        <f>'DSCR (FL)'!D43</f>
        <v>104.425</v>
      </c>
      <c r="H114" s="160">
        <v>33</v>
      </c>
      <c r="I114" s="167">
        <f t="shared" si="0"/>
        <v>9.875</v>
      </c>
      <c r="J114" s="168"/>
      <c r="K114" s="168"/>
      <c r="L114" s="169" t="e">
        <f t="shared" si="2"/>
        <v>#N/A</v>
      </c>
      <c r="M114" s="169" t="e">
        <f t="shared" si="3"/>
        <v>#N/A</v>
      </c>
      <c r="N114" s="365">
        <v>9.875</v>
      </c>
      <c r="Y114" s="363" t="s">
        <v>272</v>
      </c>
      <c r="Z114" s="368"/>
      <c r="AA114" s="363" t="s">
        <v>520</v>
      </c>
      <c r="AB114"/>
      <c r="AC114"/>
      <c r="AD114"/>
      <c r="AE114"/>
      <c r="AF114"/>
      <c r="AG114"/>
      <c r="AH114"/>
      <c r="AI114"/>
      <c r="AJ114"/>
      <c r="AK114"/>
      <c r="AL114"/>
      <c r="AM114"/>
      <c r="AN114"/>
    </row>
    <row r="115" spans="2:40" x14ac:dyDescent="0.25">
      <c r="B115" s="164">
        <f>'DSCR (FL)'!B44</f>
        <v>9.9990000000000006</v>
      </c>
      <c r="C115" s="165"/>
      <c r="D115" s="165"/>
      <c r="E115" s="166">
        <f>'DSCR (FL)'!C44</f>
        <v>107.18450000000006</v>
      </c>
      <c r="F115" s="166">
        <f>'DSCR (FL)'!D44</f>
        <v>104.675</v>
      </c>
      <c r="H115" s="160">
        <v>34</v>
      </c>
      <c r="I115" s="167">
        <f t="shared" si="0"/>
        <v>9.9990000000000006</v>
      </c>
      <c r="J115" s="168"/>
      <c r="K115" s="168"/>
      <c r="L115" s="169" t="e">
        <f t="shared" si="2"/>
        <v>#N/A</v>
      </c>
      <c r="M115" s="169" t="e">
        <f t="shared" si="3"/>
        <v>#N/A</v>
      </c>
      <c r="N115" s="365">
        <v>9.9990000000000006</v>
      </c>
      <c r="Y115" s="363" t="s">
        <v>272</v>
      </c>
      <c r="Z115" s="368"/>
      <c r="AA115" s="363" t="s">
        <v>528</v>
      </c>
      <c r="AB115"/>
      <c r="AC115"/>
      <c r="AD115"/>
      <c r="AE115"/>
      <c r="AF115"/>
      <c r="AG115"/>
      <c r="AH115"/>
      <c r="AI115"/>
      <c r="AJ115"/>
      <c r="AK115"/>
      <c r="AL115"/>
      <c r="AM115"/>
      <c r="AN115"/>
    </row>
    <row r="116" spans="2:40" x14ac:dyDescent="0.25">
      <c r="B116" s="164">
        <f>'DSCR (FL)'!B45</f>
        <v>10.125</v>
      </c>
      <c r="C116" s="165"/>
      <c r="D116" s="165"/>
      <c r="E116" s="166">
        <f>'DSCR (FL)'!C45</f>
        <v>107.30950000000006</v>
      </c>
      <c r="F116" s="166">
        <f>'DSCR (FL)'!D45</f>
        <v>104.925</v>
      </c>
      <c r="H116" s="160">
        <v>35</v>
      </c>
      <c r="I116" s="167">
        <f t="shared" si="0"/>
        <v>10.125</v>
      </c>
      <c r="J116" s="168"/>
      <c r="K116" s="168"/>
      <c r="L116" s="169" t="e">
        <f t="shared" si="2"/>
        <v>#N/A</v>
      </c>
      <c r="M116" s="169" t="e">
        <f t="shared" si="3"/>
        <v>#N/A</v>
      </c>
      <c r="N116" s="365">
        <v>10.125</v>
      </c>
      <c r="Y116" s="363" t="s">
        <v>272</v>
      </c>
      <c r="Z116" s="368"/>
      <c r="AA116" s="363" t="s">
        <v>537</v>
      </c>
      <c r="AB116"/>
      <c r="AC116"/>
      <c r="AD116"/>
      <c r="AE116"/>
      <c r="AF116"/>
      <c r="AG116"/>
      <c r="AH116"/>
      <c r="AI116"/>
      <c r="AJ116"/>
      <c r="AK116"/>
      <c r="AL116"/>
      <c r="AM116"/>
      <c r="AN116"/>
    </row>
    <row r="117" spans="2:40" x14ac:dyDescent="0.25">
      <c r="B117" s="164">
        <f>'DSCR (FL)'!B46</f>
        <v>10.25</v>
      </c>
      <c r="C117" s="165"/>
      <c r="D117" s="165"/>
      <c r="E117" s="166">
        <f>'DSCR (FL)'!C46</f>
        <v>107.43450000000006</v>
      </c>
      <c r="F117" s="166">
        <f>'DSCR (FL)'!D46</f>
        <v>105.175</v>
      </c>
      <c r="H117" s="160">
        <v>36</v>
      </c>
      <c r="I117" s="167">
        <f t="shared" si="0"/>
        <v>10.25</v>
      </c>
      <c r="J117" s="168"/>
      <c r="K117" s="168"/>
      <c r="L117" s="169" t="e">
        <f t="shared" si="2"/>
        <v>#N/A</v>
      </c>
      <c r="M117" s="169" t="e">
        <f t="shared" si="3"/>
        <v>#N/A</v>
      </c>
      <c r="N117" s="365">
        <v>10.25</v>
      </c>
      <c r="Y117" s="363" t="s">
        <v>272</v>
      </c>
      <c r="Z117" s="368"/>
      <c r="AA117" s="363" t="s">
        <v>545</v>
      </c>
      <c r="AB117"/>
      <c r="AC117"/>
      <c r="AD117"/>
      <c r="AE117"/>
      <c r="AF117"/>
      <c r="AG117"/>
      <c r="AH117"/>
      <c r="AI117"/>
      <c r="AJ117"/>
      <c r="AK117"/>
      <c r="AL117"/>
      <c r="AM117"/>
      <c r="AN117"/>
    </row>
    <row r="118" spans="2:40" x14ac:dyDescent="0.25">
      <c r="B118" s="164">
        <f>'DSCR (FL)'!B47</f>
        <v>10.375</v>
      </c>
      <c r="C118" s="165"/>
      <c r="D118" s="165"/>
      <c r="E118" s="166">
        <f>'DSCR (FL)'!C47</f>
        <v>107.55950000000006</v>
      </c>
      <c r="F118" s="166">
        <f>'DSCR (FL)'!D47</f>
        <v>105.425</v>
      </c>
      <c r="H118" s="160">
        <v>37</v>
      </c>
      <c r="I118" s="167">
        <f t="shared" si="0"/>
        <v>10.375</v>
      </c>
      <c r="J118" s="168"/>
      <c r="K118" s="168"/>
      <c r="L118" s="169" t="e">
        <f t="shared" si="2"/>
        <v>#N/A</v>
      </c>
      <c r="M118" s="169" t="e">
        <f t="shared" si="3"/>
        <v>#N/A</v>
      </c>
      <c r="N118" s="365">
        <v>10.375</v>
      </c>
      <c r="Y118" s="363" t="s">
        <v>272</v>
      </c>
      <c r="Z118" s="368"/>
      <c r="AA118" s="363" t="s">
        <v>553</v>
      </c>
      <c r="AB118"/>
      <c r="AC118"/>
      <c r="AD118"/>
      <c r="AE118"/>
      <c r="AF118"/>
      <c r="AG118"/>
      <c r="AH118"/>
      <c r="AI118"/>
      <c r="AJ118"/>
      <c r="AK118"/>
      <c r="AL118"/>
      <c r="AM118"/>
      <c r="AN118"/>
    </row>
    <row r="119" spans="2:40" x14ac:dyDescent="0.25">
      <c r="B119" s="164">
        <f>'DSCR (FL)'!B48</f>
        <v>10.499000000000001</v>
      </c>
      <c r="C119" s="165"/>
      <c r="D119" s="165"/>
      <c r="E119" s="166">
        <f>'DSCR (FL)'!C48</f>
        <v>107.68450000000006</v>
      </c>
      <c r="F119" s="166">
        <f>'DSCR (FL)'!D48</f>
        <v>105.675</v>
      </c>
      <c r="H119" s="160">
        <v>38</v>
      </c>
      <c r="I119" s="167">
        <f t="shared" si="0"/>
        <v>10.499000000000001</v>
      </c>
      <c r="J119" s="168"/>
      <c r="K119" s="168"/>
      <c r="L119" s="169" t="e">
        <f t="shared" si="2"/>
        <v>#N/A</v>
      </c>
      <c r="M119" s="169" t="e">
        <f t="shared" si="3"/>
        <v>#N/A</v>
      </c>
      <c r="N119" s="365">
        <v>10.499000000000001</v>
      </c>
      <c r="P119" s="159"/>
      <c r="Y119" s="363" t="s">
        <v>272</v>
      </c>
      <c r="Z119" s="368"/>
      <c r="AA119" s="363" t="s">
        <v>561</v>
      </c>
      <c r="AB119"/>
      <c r="AC119"/>
      <c r="AD119"/>
      <c r="AE119"/>
      <c r="AF119"/>
      <c r="AG119"/>
      <c r="AH119"/>
      <c r="AI119"/>
      <c r="AJ119"/>
      <c r="AK119"/>
      <c r="AL119"/>
      <c r="AM119"/>
      <c r="AN119"/>
    </row>
    <row r="120" spans="2:40" x14ac:dyDescent="0.25">
      <c r="B120" s="164">
        <f>'DSCR (FL)'!B49</f>
        <v>10.625</v>
      </c>
      <c r="C120" s="165"/>
      <c r="D120" s="165"/>
      <c r="E120" s="166">
        <f>'DSCR (FL)'!C49</f>
        <v>107.80950000000006</v>
      </c>
      <c r="F120" s="166">
        <f>'DSCR (FL)'!D49</f>
        <v>105.925</v>
      </c>
      <c r="H120" s="160">
        <v>39</v>
      </c>
      <c r="I120" s="167">
        <f t="shared" si="0"/>
        <v>10.625</v>
      </c>
      <c r="J120" s="168"/>
      <c r="K120" s="168"/>
      <c r="L120" s="169" t="e">
        <f t="shared" si="2"/>
        <v>#N/A</v>
      </c>
      <c r="M120" s="169" t="e">
        <f t="shared" si="3"/>
        <v>#N/A</v>
      </c>
      <c r="N120" s="365">
        <v>10.625</v>
      </c>
      <c r="Y120" s="363" t="s">
        <v>272</v>
      </c>
      <c r="Z120" s="368"/>
      <c r="AA120" s="363" t="s">
        <v>571</v>
      </c>
      <c r="AB120"/>
      <c r="AC120"/>
      <c r="AD120"/>
      <c r="AE120"/>
      <c r="AF120"/>
      <c r="AG120"/>
      <c r="AH120"/>
      <c r="AI120"/>
      <c r="AJ120"/>
      <c r="AK120"/>
      <c r="AL120"/>
      <c r="AM120"/>
      <c r="AN120"/>
    </row>
    <row r="121" spans="2:40" x14ac:dyDescent="0.25">
      <c r="B121" s="164">
        <f>'DSCR (FL)'!B50</f>
        <v>10.75</v>
      </c>
      <c r="C121" s="165"/>
      <c r="D121" s="165"/>
      <c r="E121" s="166">
        <f>'DSCR (FL)'!C50</f>
        <v>107.93450000000006</v>
      </c>
      <c r="F121" s="166">
        <f>'DSCR (FL)'!D50</f>
        <v>106.175</v>
      </c>
      <c r="H121" s="160">
        <v>40</v>
      </c>
      <c r="I121" s="167">
        <f t="shared" si="0"/>
        <v>10.75</v>
      </c>
      <c r="J121" s="168"/>
      <c r="K121" s="168"/>
      <c r="L121" s="169" t="e">
        <f t="shared" si="2"/>
        <v>#N/A</v>
      </c>
      <c r="M121" s="169" t="e">
        <f t="shared" si="3"/>
        <v>#N/A</v>
      </c>
      <c r="N121" s="365">
        <v>10.75</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8" t="str">
        <f>'DSCR (FL)'!Q55</f>
        <v>Max Price</v>
      </c>
      <c r="C129" s="719"/>
      <c r="D129" s="719"/>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6" t="e">
        <f>#REF!</f>
        <v>#REF!</v>
      </c>
      <c r="C130" s="767"/>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6"/>
      <c r="C131" s="767"/>
      <c r="D131" s="383"/>
      <c r="E131" s="469"/>
      <c r="F131"/>
      <c r="AA131"/>
      <c r="AB131"/>
      <c r="AC131"/>
      <c r="AD131"/>
      <c r="AE131"/>
      <c r="AF131"/>
      <c r="AG131"/>
      <c r="AH131"/>
      <c r="AI131"/>
      <c r="AJ131"/>
      <c r="AK131"/>
      <c r="AL131"/>
      <c r="AM131"/>
      <c r="AN131"/>
    </row>
    <row r="132" spans="1:40" x14ac:dyDescent="0.25">
      <c r="B132" s="709" t="e">
        <f>#REF!</f>
        <v>#REF!</v>
      </c>
      <c r="C132" s="710"/>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09" t="str">
        <f>'DSCR (FL)'!Q60</f>
        <v>ITIN/Foreign National</v>
      </c>
      <c r="C133" s="710"/>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09" t="e">
        <f>#REF!</f>
        <v>#REF!</v>
      </c>
      <c r="C134" s="710"/>
      <c r="D134" s="354">
        <f>'DSCR (FL)'!R61</f>
        <v>100</v>
      </c>
      <c r="E134" s="470" t="str">
        <f>IF(OR('DSCR (FL)'!S32=S4),D134,"")</f>
        <v/>
      </c>
      <c r="F134"/>
      <c r="G134"/>
      <c r="H134"/>
      <c r="I134" s="711" t="s">
        <v>636</v>
      </c>
      <c r="J134" s="712"/>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09" t="str">
        <f>'DSCR (FL)'!Q62</f>
        <v>No PPP</v>
      </c>
      <c r="C135" s="710"/>
      <c r="D135" s="354">
        <f>'DSCR (FL)'!R62</f>
        <v>100</v>
      </c>
      <c r="E135" s="470" t="str">
        <f>IF(AND(ISNUMBER(MATCH('DSCR (FL)'!S23, L5:L6, 0)),OR(ISNUMBER(MATCH('DSCR (FL)'!S27, H3:H4, 0)),)), D135, "")</f>
        <v/>
      </c>
      <c r="F135"/>
      <c r="G135"/>
      <c r="H135"/>
      <c r="I135" s="716"/>
      <c r="J135" s="717"/>
      <c r="K135" s="196"/>
      <c r="L135" s="197"/>
      <c r="M135"/>
      <c r="X135"/>
      <c r="Y135"/>
      <c r="Z135"/>
      <c r="AA135"/>
      <c r="AB135"/>
      <c r="AC135"/>
      <c r="AD135"/>
      <c r="AE135"/>
      <c r="AF135"/>
      <c r="AG135"/>
      <c r="AH135"/>
      <c r="AI135"/>
      <c r="AJ135"/>
      <c r="AK135"/>
    </row>
    <row r="136" spans="1:40" x14ac:dyDescent="0.25">
      <c r="A136" s="109" t="s">
        <v>176</v>
      </c>
      <c r="B136" s="709" t="str">
        <f>'DSCR (FL)'!Q63</f>
        <v>12 Months PPP</v>
      </c>
      <c r="C136" s="710"/>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09" t="str">
        <f>'DSCR (FL)'!Q64</f>
        <v>24 Months PPP</v>
      </c>
      <c r="C137" s="710"/>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09" t="str">
        <f>'DSCR (FL)'!Q56</f>
        <v>36-60 Months PPP</v>
      </c>
      <c r="C138" s="710"/>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09" t="str">
        <f>'DSCR (FL)'!Q57</f>
        <v>&gt;$2,000,000</v>
      </c>
      <c r="C139" s="710"/>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09" t="str">
        <f>'DSCR (FL)'!Q58</f>
        <v>&gt;$2,500,000</v>
      </c>
      <c r="C140" s="710"/>
      <c r="D140" s="353">
        <f>'DSCR (FL)'!R58</f>
        <v>100.5</v>
      </c>
      <c r="E140" s="470" t="str" cm="1">
        <f t="array" ref="E140">IF(OR('DSCR (FL)'!S20=G9:G12),D140,"")</f>
        <v/>
      </c>
      <c r="F140"/>
      <c r="G140"/>
      <c r="H140"/>
      <c r="I140"/>
      <c r="J140"/>
      <c r="K140"/>
      <c r="L140"/>
      <c r="M140"/>
    </row>
    <row r="141" spans="1:40" x14ac:dyDescent="0.25">
      <c r="B141" s="709" t="str">
        <f>'DSCR (FL)'!Q66</f>
        <v>DSCR 5-8 Units</v>
      </c>
      <c r="C141" s="710"/>
      <c r="D141" s="353">
        <f>'DSCR (FL)'!R66</f>
        <v>100</v>
      </c>
      <c r="E141" s="470" t="str">
        <f>IF(OR('DSCR (FL)'!S24=K10),D141,"")</f>
        <v/>
      </c>
      <c r="F141"/>
      <c r="G141"/>
      <c r="H141"/>
      <c r="I141"/>
      <c r="J141"/>
      <c r="K141"/>
      <c r="L141"/>
      <c r="M141"/>
    </row>
    <row r="142" spans="1:40" x14ac:dyDescent="0.25">
      <c r="A142" s="109" t="s">
        <v>176</v>
      </c>
      <c r="B142" s="709" t="str">
        <f>'DSCR (FL)'!Q65</f>
        <v>NJ Title Vested in LLC</v>
      </c>
      <c r="C142" s="710"/>
      <c r="D142" s="353">
        <f>'DSCR (FL)'!R65</f>
        <v>100</v>
      </c>
      <c r="E142" s="471" t="str">
        <f>IF(OR('DSCR (FL)'!S28=J15),D142,"")</f>
        <v/>
      </c>
      <c r="F142"/>
      <c r="G142"/>
      <c r="H142"/>
      <c r="I142"/>
      <c r="J142"/>
      <c r="K142"/>
      <c r="L142"/>
      <c r="M142"/>
    </row>
    <row r="143" spans="1:40" x14ac:dyDescent="0.25">
      <c r="B143" s="709">
        <f>'DSCR (FL)'!Q67</f>
        <v>0</v>
      </c>
      <c r="C143" s="710"/>
      <c r="D143" s="353">
        <f>'DSCR (FL)'!R67</f>
        <v>0</v>
      </c>
      <c r="E143" s="471" t="str">
        <f>IF(AND('DSCR (FL)'!S29=T16,OR('DSCR (FL)'!S23=L6),'DSCR (FL)'!S27=H3),D143,"")</f>
        <v/>
      </c>
      <c r="F143"/>
      <c r="G143"/>
      <c r="H143"/>
      <c r="I143"/>
      <c r="J143"/>
      <c r="K143"/>
      <c r="L143"/>
      <c r="M143"/>
    </row>
    <row r="144" spans="1:40" x14ac:dyDescent="0.25">
      <c r="B144" s="766"/>
      <c r="C144" s="767"/>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677" t="s">
        <v>11</v>
      </c>
      <c r="C161" s="678"/>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778</v>
      </c>
      <c r="W161" s="458">
        <v>0</v>
      </c>
    </row>
    <row r="162" spans="2:23" ht="12" customHeight="1" x14ac:dyDescent="0.25">
      <c r="B162" s="622" t="s">
        <v>95</v>
      </c>
      <c r="C162" s="623"/>
      <c r="D162" s="623"/>
      <c r="E162" s="623"/>
      <c r="F162" s="623"/>
      <c r="G162" s="623"/>
      <c r="H162" s="623"/>
      <c r="I162" s="623"/>
      <c r="J162" s="623"/>
      <c r="K162" s="623"/>
      <c r="L162" s="624"/>
      <c r="M162"/>
      <c r="N162" s="119" t="s">
        <v>31</v>
      </c>
      <c r="O162" s="349"/>
      <c r="P162" s="350"/>
      <c r="Q162" s="350"/>
      <c r="R162" s="350"/>
      <c r="T162" s="456" t="s">
        <v>767</v>
      </c>
      <c r="U162" s="456" t="s">
        <v>767</v>
      </c>
      <c r="V162" s="457" t="s">
        <v>779</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780</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9">
        <f>'DSCR (FL)'!H66</f>
        <v>0</v>
      </c>
      <c r="E185" s="609">
        <f>'DSCR (FL)'!I66</f>
        <v>0</v>
      </c>
      <c r="F185" s="609">
        <f>'DSCR (FL)'!J66</f>
        <v>0</v>
      </c>
      <c r="G185" s="609">
        <f>'DSCR (FL)'!K66</f>
        <v>0</v>
      </c>
      <c r="H185" s="609">
        <f>'DSCR (FL)'!L66</f>
        <v>0</v>
      </c>
      <c r="I185" s="609">
        <f>'DSCR (FL)'!M66</f>
        <v>0</v>
      </c>
      <c r="J185" s="609">
        <f>'DSCR (FL)'!N66</f>
        <v>0</v>
      </c>
      <c r="K185" s="609">
        <f>'DSCR (FL)'!O66</f>
        <v>-0.25</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9">
        <f>'DSCR (FL)'!H67</f>
        <v>-2</v>
      </c>
      <c r="E191" s="609">
        <f>'DSCR (FL)'!I67</f>
        <v>-2</v>
      </c>
      <c r="F191" s="609">
        <f>'DSCR (FL)'!J67</f>
        <v>-2</v>
      </c>
      <c r="G191" s="609">
        <f>'DSCR (FL)'!K67</f>
        <v>-2</v>
      </c>
      <c r="H191" s="609">
        <f>'DSCR (FL)'!L67</f>
        <v>-2</v>
      </c>
      <c r="I191" s="609">
        <f>'DSCR (FL)'!M67</f>
        <v>-2.5</v>
      </c>
      <c r="J191" s="609" t="e">
        <f>'DSCR (FL)'!N67</f>
        <v>#N/A</v>
      </c>
      <c r="K191" s="609"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894</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AM53" sqref="AM53:AM54"/>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1" t="s">
        <v>66</v>
      </c>
      <c r="S1" s="531"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30"/>
      <c r="Z2"/>
      <c r="AC2" s="109"/>
      <c r="AD2" s="109"/>
    </row>
    <row r="3" spans="1:31" x14ac:dyDescent="0.25">
      <c r="A3" s="109" t="s">
        <v>900</v>
      </c>
      <c r="B3" s="119" t="s">
        <v>12</v>
      </c>
      <c r="C3" s="119" t="s">
        <v>48</v>
      </c>
      <c r="D3" s="122" t="s">
        <v>209</v>
      </c>
      <c r="E3" s="119" t="s">
        <v>210</v>
      </c>
      <c r="F3" s="119" t="s">
        <v>912</v>
      </c>
      <c r="G3" s="119" t="s">
        <v>906</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911</v>
      </c>
      <c r="V3" s="109" t="s">
        <v>34</v>
      </c>
      <c r="W3" s="109" t="s">
        <v>37</v>
      </c>
      <c r="X3"/>
      <c r="Y3" s="530"/>
      <c r="Z3"/>
      <c r="AA3"/>
      <c r="AB3" s="109"/>
      <c r="AC3" s="109"/>
      <c r="AD3" s="109"/>
    </row>
    <row r="4" spans="1:31" x14ac:dyDescent="0.25">
      <c r="A4" s="109" t="s">
        <v>42</v>
      </c>
      <c r="B4" s="119" t="s">
        <v>13</v>
      </c>
      <c r="C4" s="119" t="s">
        <v>28</v>
      </c>
      <c r="D4" s="122"/>
      <c r="E4" s="122"/>
      <c r="F4" s="119" t="s">
        <v>905</v>
      </c>
      <c r="G4" s="109" t="s">
        <v>776</v>
      </c>
      <c r="H4" s="119" t="s">
        <v>107</v>
      </c>
      <c r="I4" s="119" t="s">
        <v>151</v>
      </c>
      <c r="J4" t="s">
        <v>70</v>
      </c>
      <c r="K4" s="109" t="s">
        <v>909</v>
      </c>
      <c r="L4" s="119" t="s">
        <v>97</v>
      </c>
      <c r="M4" s="119"/>
      <c r="N4" s="475" t="s">
        <v>65</v>
      </c>
      <c r="O4" s="475"/>
      <c r="P4" s="122" t="s">
        <v>904</v>
      </c>
      <c r="Q4" s="475" t="s">
        <v>223</v>
      </c>
      <c r="R4" s="532" t="s">
        <v>224</v>
      </c>
      <c r="S4" s="533" t="s">
        <v>225</v>
      </c>
      <c r="T4" s="119" t="s">
        <v>218</v>
      </c>
      <c r="U4" s="109" t="s">
        <v>261</v>
      </c>
      <c r="V4" s="109" t="s">
        <v>166</v>
      </c>
      <c r="W4" s="109" t="s">
        <v>910</v>
      </c>
      <c r="X4"/>
      <c r="Y4" s="391"/>
      <c r="Z4"/>
      <c r="AB4"/>
      <c r="AC4"/>
      <c r="AD4" s="109"/>
    </row>
    <row r="5" spans="1:31" x14ac:dyDescent="0.25">
      <c r="A5" s="109" t="s">
        <v>44</v>
      </c>
      <c r="B5" s="119" t="s">
        <v>14</v>
      </c>
      <c r="C5" s="119"/>
      <c r="D5" s="119"/>
      <c r="E5" s="122"/>
      <c r="F5" s="119"/>
      <c r="G5" s="119" t="s">
        <v>907</v>
      </c>
      <c r="H5" s="119" t="s">
        <v>112</v>
      </c>
      <c r="I5" s="119"/>
      <c r="J5" t="s">
        <v>72</v>
      </c>
      <c r="K5" s="109" t="s">
        <v>913</v>
      </c>
      <c r="L5" s="119" t="s">
        <v>229</v>
      </c>
      <c r="M5" s="119"/>
      <c r="N5" s="475" t="s">
        <v>106</v>
      </c>
      <c r="O5" s="475"/>
      <c r="P5" s="475"/>
      <c r="Q5" s="475" t="s">
        <v>232</v>
      </c>
      <c r="R5" s="534" t="s">
        <v>233</v>
      </c>
      <c r="S5" s="533"/>
      <c r="T5" s="119" t="s">
        <v>894</v>
      </c>
      <c r="U5" s="109"/>
      <c r="V5" s="119"/>
      <c r="W5"/>
      <c r="Y5" s="391"/>
      <c r="Z5"/>
      <c r="AA5"/>
      <c r="AB5"/>
      <c r="AC5" s="121" t="s">
        <v>227</v>
      </c>
      <c r="AD5"/>
      <c r="AE5"/>
    </row>
    <row r="6" spans="1:31" x14ac:dyDescent="0.25">
      <c r="A6" s="119" t="s">
        <v>901</v>
      </c>
      <c r="B6" s="119" t="s">
        <v>15</v>
      </c>
      <c r="C6" s="119"/>
      <c r="E6" s="122"/>
      <c r="F6" s="119"/>
      <c r="G6" s="119" t="s">
        <v>908</v>
      </c>
      <c r="H6" s="119" t="s">
        <v>116</v>
      </c>
      <c r="I6" s="119"/>
      <c r="J6"/>
      <c r="K6" s="119" t="s">
        <v>248</v>
      </c>
      <c r="L6" s="119" t="s">
        <v>238</v>
      </c>
      <c r="M6" s="119"/>
      <c r="N6" s="475" t="s">
        <v>111</v>
      </c>
      <c r="O6" s="475"/>
      <c r="P6" s="475"/>
      <c r="Q6" s="119"/>
      <c r="R6" s="119"/>
      <c r="S6" s="126"/>
      <c r="T6" s="119" t="s">
        <v>914</v>
      </c>
      <c r="U6" s="109"/>
      <c r="W6"/>
      <c r="X6"/>
      <c r="Y6"/>
      <c r="AA6"/>
      <c r="AB6"/>
      <c r="AC6" s="121" t="s">
        <v>227</v>
      </c>
      <c r="AD6"/>
      <c r="AE6"/>
    </row>
    <row r="7" spans="1:31" x14ac:dyDescent="0.25">
      <c r="A7" s="119" t="s">
        <v>902</v>
      </c>
      <c r="B7" s="119"/>
      <c r="C7" s="119"/>
      <c r="D7" s="119"/>
      <c r="E7" s="122"/>
      <c r="G7" s="119" t="s">
        <v>86</v>
      </c>
      <c r="H7" s="131" t="s">
        <v>121</v>
      </c>
      <c r="I7" s="119"/>
      <c r="J7"/>
      <c r="K7" s="119"/>
      <c r="L7" s="119"/>
      <c r="M7" s="119"/>
      <c r="N7" s="475" t="s">
        <v>243</v>
      </c>
      <c r="O7" s="475"/>
      <c r="P7" s="475"/>
      <c r="Q7" s="119"/>
      <c r="R7" s="112"/>
      <c r="S7"/>
      <c r="T7" s="119" t="s">
        <v>916</v>
      </c>
      <c r="U7" s="119"/>
      <c r="W7"/>
      <c r="X7"/>
      <c r="Y7"/>
      <c r="Z7"/>
      <c r="AA7"/>
      <c r="AB7"/>
      <c r="AC7" s="121" t="s">
        <v>227</v>
      </c>
      <c r="AD7"/>
      <c r="AE7"/>
    </row>
    <row r="8" spans="1:31" x14ac:dyDescent="0.25">
      <c r="A8" s="119" t="s">
        <v>903</v>
      </c>
      <c r="B8" s="119"/>
      <c r="C8" s="119"/>
      <c r="D8" s="119"/>
      <c r="E8" s="119"/>
      <c r="G8" s="119" t="s">
        <v>917</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915</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6" t="s">
        <v>207</v>
      </c>
      <c r="G19" s="135"/>
      <c r="H19" s="135"/>
      <c r="I19" s="136"/>
      <c r="N19"/>
      <c r="O19" s="136"/>
      <c r="P19" s="136"/>
      <c r="R19" s="134"/>
      <c r="S19" s="121"/>
      <c r="T19" s="119"/>
      <c r="U19" s="134"/>
      <c r="V19" s="134"/>
      <c r="W19" s="134"/>
      <c r="X19" s="134"/>
      <c r="Y19" s="134"/>
      <c r="Z19" s="134"/>
      <c r="AA19" s="134"/>
      <c r="AB19" s="134"/>
    </row>
    <row r="20" spans="1:29" ht="15.75" x14ac:dyDescent="0.25">
      <c r="A20" s="537" t="b" cm="1">
        <f t="array" ref="A20">IF(AND(OR('EquityForward (FL)'!$O$17=D3),OR('EquityForward (FL)'!$O$22=J3:J5)),0)</f>
        <v>0</v>
      </c>
      <c r="B20" s="535"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918</v>
      </c>
      <c r="B35" s="573"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919</v>
      </c>
      <c r="B36" s="574" t="str">
        <f>IF(AND('EquityForward (FL)'!O11=B6,OR('EquityForward (FL)'!O22='Feed(CoreFlex)'!J5)),NA(),"")</f>
        <v/>
      </c>
      <c r="C36" s="109" t="s">
        <v>920</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3"/>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4"/>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3"/>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3"/>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3"/>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4"/>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4"/>
      <c r="D43" s="119"/>
      <c r="K43"/>
      <c r="L43"/>
      <c r="M43"/>
      <c r="N43"/>
      <c r="O43" s="136"/>
      <c r="P43" s="136"/>
      <c r="Q43" s="119"/>
      <c r="R43"/>
      <c r="S43" s="119"/>
      <c r="U43" s="109"/>
      <c r="W43" s="109"/>
      <c r="Y43" s="109"/>
      <c r="AA43" s="109"/>
      <c r="AG43" s="572"/>
      <c r="AH43"/>
      <c r="AI43"/>
      <c r="AJ43"/>
      <c r="AK43"/>
      <c r="AL43"/>
      <c r="AM43"/>
      <c r="AN43"/>
      <c r="AO43" s="121"/>
      <c r="AP43" s="121"/>
    </row>
    <row r="44" spans="1:42" x14ac:dyDescent="0.25">
      <c r="A44" s="118"/>
      <c r="B44" s="575"/>
      <c r="I44"/>
      <c r="J44"/>
      <c r="K44"/>
      <c r="L44"/>
      <c r="O44" s="136"/>
      <c r="P44" s="136"/>
      <c r="Q44" s="119"/>
      <c r="S44" s="119"/>
      <c r="U44" s="109"/>
      <c r="W44" s="109"/>
      <c r="Y44" s="109"/>
      <c r="AA44" s="109"/>
      <c r="AG44" s="572"/>
      <c r="AH44"/>
      <c r="AI44"/>
      <c r="AJ44"/>
      <c r="AK44"/>
      <c r="AL44"/>
      <c r="AM44"/>
      <c r="AN44"/>
      <c r="AO44" s="121"/>
      <c r="AP44" s="121"/>
    </row>
    <row r="45" spans="1:42" x14ac:dyDescent="0.25">
      <c r="A45" s="118"/>
      <c r="B45" s="574"/>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6">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8" t="s">
        <v>618</v>
      </c>
      <c r="C59" s="769"/>
      <c r="D59" s="769"/>
      <c r="E59" s="770"/>
      <c r="F59" s="565"/>
      <c r="G59" s="565"/>
      <c r="I59" s="771" t="s">
        <v>618</v>
      </c>
      <c r="J59" s="772"/>
      <c r="K59" s="772"/>
      <c r="L59" s="772"/>
      <c r="O59" s="136"/>
      <c r="P59" s="136"/>
      <c r="Q59" s="119"/>
      <c r="S59" s="121"/>
      <c r="AH59" s="121"/>
      <c r="AJ59" s="121"/>
      <c r="AK59" s="121"/>
      <c r="AL59" s="121"/>
      <c r="AM59" s="121"/>
      <c r="AN59" s="121"/>
      <c r="AO59" s="121"/>
      <c r="AP59" s="121"/>
    </row>
    <row r="60" spans="1:42" ht="15.75" thickBot="1" x14ac:dyDescent="0.3">
      <c r="B60" s="578" t="s">
        <v>621</v>
      </c>
      <c r="C60" s="579" t="s">
        <v>209</v>
      </c>
      <c r="D60" s="579" t="s">
        <v>220</v>
      </c>
      <c r="E60" s="580" t="s">
        <v>176</v>
      </c>
      <c r="F60" s="568"/>
      <c r="G60" s="152" t="s">
        <v>622</v>
      </c>
      <c r="I60" s="153" t="s">
        <v>621</v>
      </c>
      <c r="J60" s="154" t="s">
        <v>209</v>
      </c>
      <c r="K60" s="154" t="s">
        <v>220</v>
      </c>
      <c r="L60" s="569" t="s">
        <v>176</v>
      </c>
      <c r="M60" s="568"/>
      <c r="N60" s="155">
        <v>0</v>
      </c>
      <c r="O60" s="136"/>
      <c r="P60" s="136"/>
      <c r="S60" s="121"/>
      <c r="AG60" s="121"/>
      <c r="AJ60" s="121"/>
      <c r="AK60" s="121"/>
      <c r="AL60" s="121"/>
      <c r="AM60" s="121"/>
      <c r="AN60" s="121"/>
      <c r="AO60" s="121"/>
      <c r="AP60" s="121"/>
    </row>
    <row r="61" spans="1:42" x14ac:dyDescent="0.25">
      <c r="B61" s="563">
        <f>'EquityForward (FL)'!B11</f>
        <v>7</v>
      </c>
      <c r="C61" s="564">
        <f>'EquityForward (FL)'!C11</f>
        <v>94.5</v>
      </c>
      <c r="D61" s="564"/>
      <c r="E61" s="564"/>
      <c r="F61" s="562"/>
      <c r="G61" s="365" t="e">
        <f>SUM('EquityForward (FL)'!P12:P35)+B46</f>
        <v>#N/A</v>
      </c>
      <c r="H61" s="586">
        <v>1</v>
      </c>
      <c r="I61" s="161">
        <f t="shared" ref="I61:I83" si="0">B61</f>
        <v>7</v>
      </c>
      <c r="J61" s="162" t="e">
        <f t="shared" ref="J61:J83" si="1">C61+$G$61</f>
        <v>#N/A</v>
      </c>
      <c r="K61" s="162"/>
      <c r="L61" s="162"/>
      <c r="M61" s="570"/>
      <c r="N61" s="159" cm="1">
        <f t="array" ref="N61:N83">I61:I83</f>
        <v>7</v>
      </c>
      <c r="O61" s="136"/>
      <c r="P61" s="136"/>
      <c r="S61" s="121"/>
      <c r="AH61" s="121"/>
      <c r="AJ61" s="121"/>
      <c r="AK61" s="121"/>
      <c r="AL61" s="121"/>
      <c r="AM61" s="121"/>
      <c r="AN61" s="121"/>
      <c r="AO61" s="121"/>
      <c r="AP61" s="121"/>
    </row>
    <row r="62" spans="1:42" x14ac:dyDescent="0.25">
      <c r="B62" s="164">
        <f>'EquityForward (FL)'!B12</f>
        <v>7.125</v>
      </c>
      <c r="C62" s="165">
        <f>'EquityForward (FL)'!C12</f>
        <v>94.875</v>
      </c>
      <c r="D62" s="165"/>
      <c r="E62" s="165"/>
      <c r="F62" s="562"/>
      <c r="G62" s="109" t="s">
        <v>625</v>
      </c>
      <c r="H62" s="586">
        <v>2</v>
      </c>
      <c r="I62" s="167">
        <f t="shared" si="0"/>
        <v>7.125</v>
      </c>
      <c r="J62" s="168" t="e">
        <f t="shared" si="1"/>
        <v>#N/A</v>
      </c>
      <c r="K62" s="168"/>
      <c r="L62" s="168"/>
      <c r="M62" s="570"/>
      <c r="N62" s="159">
        <v>7.125</v>
      </c>
      <c r="O62" s="136"/>
      <c r="P62" s="136"/>
      <c r="S62" s="121"/>
      <c r="AH62" s="121"/>
      <c r="AJ62" s="121"/>
      <c r="AK62" s="121"/>
      <c r="AL62" s="121"/>
      <c r="AM62" s="121"/>
      <c r="AN62" s="121"/>
      <c r="AO62" s="121"/>
      <c r="AP62" s="121"/>
    </row>
    <row r="63" spans="1:42" x14ac:dyDescent="0.25">
      <c r="B63" s="164">
        <f>'EquityForward (FL)'!B13</f>
        <v>7.25</v>
      </c>
      <c r="C63" s="165">
        <f>'EquityForward (FL)'!C13</f>
        <v>95.25</v>
      </c>
      <c r="D63" s="165"/>
      <c r="E63" s="165"/>
      <c r="F63" s="562"/>
      <c r="G63" s="152" t="s">
        <v>626</v>
      </c>
      <c r="H63" s="586">
        <v>3</v>
      </c>
      <c r="I63" s="167">
        <f t="shared" si="0"/>
        <v>7.25</v>
      </c>
      <c r="J63" s="168" t="e">
        <f t="shared" si="1"/>
        <v>#N/A</v>
      </c>
      <c r="K63" s="168"/>
      <c r="L63" s="168"/>
      <c r="M63" s="570"/>
      <c r="N63" s="159">
        <v>7.25</v>
      </c>
      <c r="O63" s="136"/>
      <c r="P63" s="136"/>
      <c r="S63" s="121"/>
      <c r="AG63" s="391"/>
      <c r="AH63" s="121"/>
      <c r="AJ63" s="121"/>
      <c r="AK63" s="121"/>
      <c r="AL63" s="121"/>
      <c r="AM63" s="121"/>
      <c r="AN63" s="121"/>
      <c r="AO63" s="121"/>
      <c r="AP63" s="121"/>
    </row>
    <row r="64" spans="1:42" ht="15.75" x14ac:dyDescent="0.25">
      <c r="B64" s="164">
        <f>'EquityForward (FL)'!B14</f>
        <v>7.375</v>
      </c>
      <c r="C64" s="165">
        <f>'EquityForward (FL)'!C14</f>
        <v>95.625</v>
      </c>
      <c r="D64" s="165"/>
      <c r="E64" s="165"/>
      <c r="F64" s="562"/>
      <c r="G64" s="159" t="e">
        <f>'EquityForward (FL)'!P40</f>
        <v>#N/A</v>
      </c>
      <c r="H64" s="586">
        <v>4</v>
      </c>
      <c r="I64" s="167">
        <f t="shared" si="0"/>
        <v>7.375</v>
      </c>
      <c r="J64" s="168" t="e">
        <f t="shared" si="1"/>
        <v>#N/A</v>
      </c>
      <c r="K64" s="168"/>
      <c r="L64" s="168"/>
      <c r="M64" s="570"/>
      <c r="N64" s="159">
        <v>7.375</v>
      </c>
      <c r="O64" s="136"/>
      <c r="P64" s="365"/>
      <c r="S64" s="121"/>
      <c r="Y64" s="140"/>
      <c r="AG64" s="428"/>
      <c r="AH64" s="428"/>
      <c r="AI64" s="428"/>
      <c r="AJ64" s="121"/>
      <c r="AK64" s="121"/>
      <c r="AL64" s="121"/>
      <c r="AM64" s="121"/>
      <c r="AN64" s="121"/>
      <c r="AO64" s="121"/>
      <c r="AP64" s="121"/>
    </row>
    <row r="65" spans="2:48" ht="15.75" x14ac:dyDescent="0.25">
      <c r="B65" s="164">
        <f>'EquityForward (FL)'!B15</f>
        <v>7.5</v>
      </c>
      <c r="C65" s="165">
        <f>'EquityForward (FL)'!C15</f>
        <v>96</v>
      </c>
      <c r="D65" s="165"/>
      <c r="E65" s="165"/>
      <c r="F65" s="562"/>
      <c r="H65" s="586">
        <v>5</v>
      </c>
      <c r="I65" s="167">
        <f t="shared" si="0"/>
        <v>7.5</v>
      </c>
      <c r="J65" s="168" t="e">
        <f t="shared" si="1"/>
        <v>#N/A</v>
      </c>
      <c r="K65" s="168"/>
      <c r="L65" s="168"/>
      <c r="M65" s="570"/>
      <c r="N65" s="159">
        <v>7.5</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7.625</v>
      </c>
      <c r="C66" s="165">
        <f>'EquityForward (FL)'!C16</f>
        <v>96.375</v>
      </c>
      <c r="D66" s="165"/>
      <c r="E66" s="165"/>
      <c r="F66" s="562"/>
      <c r="H66" s="586">
        <v>6</v>
      </c>
      <c r="I66" s="167">
        <f t="shared" si="0"/>
        <v>7.625</v>
      </c>
      <c r="J66" s="168" t="e">
        <f t="shared" si="1"/>
        <v>#N/A</v>
      </c>
      <c r="K66" s="168"/>
      <c r="L66" s="168"/>
      <c r="M66" s="570"/>
      <c r="N66" s="159">
        <v>7.625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7.75</v>
      </c>
      <c r="C67" s="165">
        <f>'EquityForward (FL)'!C17</f>
        <v>96.75</v>
      </c>
      <c r="D67" s="165"/>
      <c r="E67" s="165"/>
      <c r="F67" s="562"/>
      <c r="H67" s="586">
        <v>7</v>
      </c>
      <c r="I67" s="167">
        <f t="shared" si="0"/>
        <v>7.75</v>
      </c>
      <c r="J67" s="168" t="e">
        <f t="shared" si="1"/>
        <v>#N/A</v>
      </c>
      <c r="K67" s="168"/>
      <c r="L67" s="168"/>
      <c r="M67" s="570"/>
      <c r="N67" s="159">
        <v>7.75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7.875</v>
      </c>
      <c r="C68" s="165">
        <f>'EquityForward (FL)'!C18</f>
        <v>97.125</v>
      </c>
      <c r="D68" s="165"/>
      <c r="E68" s="165"/>
      <c r="F68" s="562"/>
      <c r="G68" s="585" t="s">
        <v>209</v>
      </c>
      <c r="H68" s="586">
        <v>8</v>
      </c>
      <c r="I68" s="167">
        <f t="shared" si="0"/>
        <v>7.875</v>
      </c>
      <c r="J68" s="168" t="e">
        <f t="shared" si="1"/>
        <v>#N/A</v>
      </c>
      <c r="K68" s="168"/>
      <c r="L68" s="168"/>
      <c r="M68" s="570"/>
      <c r="N68" s="159">
        <v>7.875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v>
      </c>
      <c r="C69" s="165">
        <f>'EquityForward (FL)'!C19</f>
        <v>97.5</v>
      </c>
      <c r="D69" s="165"/>
      <c r="E69" s="165"/>
      <c r="F69" s="562"/>
      <c r="G69" s="136" t="e">
        <f>#REF!</f>
        <v>#REF!</v>
      </c>
      <c r="H69" s="586">
        <v>9</v>
      </c>
      <c r="I69" s="167">
        <f t="shared" si="0"/>
        <v>8</v>
      </c>
      <c r="J69" s="168" t="e">
        <f t="shared" si="1"/>
        <v>#N/A</v>
      </c>
      <c r="K69" s="168"/>
      <c r="L69" s="168"/>
      <c r="M69" s="570"/>
      <c r="N69" s="159">
        <v>8</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8.125</v>
      </c>
      <c r="C70" s="165">
        <f>'EquityForward (FL)'!C20</f>
        <v>97.875</v>
      </c>
      <c r="D70" s="165"/>
      <c r="E70" s="165"/>
      <c r="F70" s="562"/>
      <c r="G70" s="109" t="e">
        <f>IF(#REF!="DSCR 5-8", "DSCR 5-8", "")</f>
        <v>#REF!</v>
      </c>
      <c r="H70" s="586">
        <v>10</v>
      </c>
      <c r="I70" s="167">
        <f t="shared" si="0"/>
        <v>8.125</v>
      </c>
      <c r="J70" s="168" t="e">
        <f t="shared" si="1"/>
        <v>#N/A</v>
      </c>
      <c r="K70" s="168"/>
      <c r="L70" s="168"/>
      <c r="M70" s="570"/>
      <c r="N70" s="159">
        <v>8.125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8.25</v>
      </c>
      <c r="C71" s="165">
        <f>'EquityForward (FL)'!C21</f>
        <v>98.25</v>
      </c>
      <c r="D71" s="165"/>
      <c r="E71" s="165"/>
      <c r="F71" s="562"/>
      <c r="H71" s="586">
        <v>11</v>
      </c>
      <c r="I71" s="167">
        <f t="shared" si="0"/>
        <v>8.25</v>
      </c>
      <c r="J71" s="168" t="e">
        <f t="shared" si="1"/>
        <v>#N/A</v>
      </c>
      <c r="K71" s="168"/>
      <c r="L71" s="168"/>
      <c r="M71" s="570"/>
      <c r="N71" s="159">
        <v>8.25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8.375</v>
      </c>
      <c r="C72" s="165">
        <f>'EquityForward (FL)'!C22</f>
        <v>98.625</v>
      </c>
      <c r="D72" s="165"/>
      <c r="E72" s="165"/>
      <c r="F72" s="562"/>
      <c r="H72" s="586">
        <v>12</v>
      </c>
      <c r="I72" s="167">
        <f t="shared" si="0"/>
        <v>8.375</v>
      </c>
      <c r="J72" s="168" t="e">
        <f t="shared" si="1"/>
        <v>#N/A</v>
      </c>
      <c r="K72" s="168"/>
      <c r="L72" s="168"/>
      <c r="M72" s="570"/>
      <c r="N72" s="159">
        <v>8.375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8.5</v>
      </c>
      <c r="C73" s="165">
        <f>'EquityForward (FL)'!C23</f>
        <v>99</v>
      </c>
      <c r="D73" s="165"/>
      <c r="E73" s="165"/>
      <c r="F73" s="562"/>
      <c r="G73" s="159"/>
      <c r="H73" s="586">
        <v>13</v>
      </c>
      <c r="I73" s="167">
        <f t="shared" si="0"/>
        <v>8.5</v>
      </c>
      <c r="J73" s="168" t="e">
        <f t="shared" si="1"/>
        <v>#N/A</v>
      </c>
      <c r="K73" s="168"/>
      <c r="L73" s="168"/>
      <c r="M73" s="570"/>
      <c r="N73" s="159">
        <v>8.5</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8.625</v>
      </c>
      <c r="C74" s="165">
        <f>'EquityForward (FL)'!C24</f>
        <v>99.25</v>
      </c>
      <c r="D74" s="165"/>
      <c r="E74" s="165"/>
      <c r="F74" s="562"/>
      <c r="H74" s="586">
        <v>14</v>
      </c>
      <c r="I74" s="167">
        <f t="shared" si="0"/>
        <v>8.625</v>
      </c>
      <c r="J74" s="168" t="e">
        <f t="shared" si="1"/>
        <v>#N/A</v>
      </c>
      <c r="K74" s="168"/>
      <c r="L74" s="168"/>
      <c r="M74" s="570"/>
      <c r="N74" s="159">
        <v>8.625</v>
      </c>
      <c r="O74" s="136"/>
      <c r="P74" s="136"/>
      <c r="S74" s="121"/>
      <c r="Y74" s="109"/>
      <c r="AA74" s="109"/>
      <c r="AG74" s="430"/>
      <c r="AH74" s="430"/>
      <c r="AI74" s="430"/>
      <c r="AM74" s="121"/>
      <c r="AN74" s="121"/>
      <c r="AO74" s="121"/>
      <c r="AP74" s="121"/>
      <c r="AQ74" s="121"/>
      <c r="AR74" s="121"/>
      <c r="AS74" s="121"/>
    </row>
    <row r="75" spans="2:48" ht="15.75" x14ac:dyDescent="0.25">
      <c r="B75" s="164">
        <f>'EquityForward (FL)'!B25</f>
        <v>8.75</v>
      </c>
      <c r="C75" s="165">
        <f>'EquityForward (FL)'!C25</f>
        <v>99.5</v>
      </c>
      <c r="D75" s="165"/>
      <c r="E75" s="165"/>
      <c r="F75" s="562"/>
      <c r="H75" s="586">
        <v>15</v>
      </c>
      <c r="I75" s="167">
        <f t="shared" si="0"/>
        <v>8.75</v>
      </c>
      <c r="J75" s="168" t="e">
        <f t="shared" si="1"/>
        <v>#N/A</v>
      </c>
      <c r="K75" s="168"/>
      <c r="L75" s="168"/>
      <c r="M75" s="570"/>
      <c r="N75" s="159">
        <v>8.75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8.875</v>
      </c>
      <c r="C76" s="165">
        <f>'EquityForward (FL)'!C26</f>
        <v>99.75</v>
      </c>
      <c r="D76" s="165"/>
      <c r="E76" s="165"/>
      <c r="F76" s="562"/>
      <c r="G76" s="159"/>
      <c r="H76" s="586">
        <v>16</v>
      </c>
      <c r="I76" s="167">
        <f t="shared" si="0"/>
        <v>8.875</v>
      </c>
      <c r="J76" s="168" t="e">
        <f t="shared" si="1"/>
        <v>#N/A</v>
      </c>
      <c r="K76" s="168"/>
      <c r="L76" s="168"/>
      <c r="M76" s="570"/>
      <c r="N76" s="159">
        <v>8.875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v>
      </c>
      <c r="C77" s="165">
        <f>'EquityForward (FL)'!C27</f>
        <v>100</v>
      </c>
      <c r="D77" s="165"/>
      <c r="E77" s="165"/>
      <c r="F77" s="562"/>
      <c r="G77" s="159"/>
      <c r="H77" s="586">
        <v>17</v>
      </c>
      <c r="I77" s="167">
        <f t="shared" si="0"/>
        <v>9</v>
      </c>
      <c r="J77" s="168" t="e">
        <f t="shared" si="1"/>
        <v>#N/A</v>
      </c>
      <c r="K77" s="168"/>
      <c r="L77" s="168"/>
      <c r="M77" s="570"/>
      <c r="N77" s="159">
        <v>9</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9.125</v>
      </c>
      <c r="C78" s="165">
        <f>'EquityForward (FL)'!C28</f>
        <v>100.25</v>
      </c>
      <c r="D78" s="165"/>
      <c r="E78" s="165"/>
      <c r="F78" s="562"/>
      <c r="H78" s="586">
        <v>18</v>
      </c>
      <c r="I78" s="172">
        <f t="shared" si="0"/>
        <v>9.125</v>
      </c>
      <c r="J78" s="173" t="e">
        <f t="shared" si="1"/>
        <v>#N/A</v>
      </c>
      <c r="K78" s="173"/>
      <c r="L78" s="173"/>
      <c r="M78" s="570"/>
      <c r="N78" s="159">
        <v>9.125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9.25</v>
      </c>
      <c r="C79" s="165">
        <f>'EquityForward (FL)'!C29</f>
        <v>100.5</v>
      </c>
      <c r="D79" s="165"/>
      <c r="E79" s="165"/>
      <c r="F79" s="562"/>
      <c r="H79" s="586">
        <v>19</v>
      </c>
      <c r="I79" s="172">
        <f t="shared" si="0"/>
        <v>9.25</v>
      </c>
      <c r="J79" s="173" t="e">
        <f t="shared" si="1"/>
        <v>#N/A</v>
      </c>
      <c r="K79" s="173"/>
      <c r="L79" s="173"/>
      <c r="M79" s="570"/>
      <c r="N79" s="159">
        <v>9.25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9.375</v>
      </c>
      <c r="C80" s="165">
        <f>'EquityForward (FL)'!C30</f>
        <v>100.75</v>
      </c>
      <c r="D80" s="165"/>
      <c r="E80" s="165"/>
      <c r="F80" s="562"/>
      <c r="H80" s="586">
        <v>20</v>
      </c>
      <c r="I80" s="167">
        <f t="shared" si="0"/>
        <v>9.375</v>
      </c>
      <c r="J80" s="168" t="e">
        <f t="shared" si="1"/>
        <v>#N/A</v>
      </c>
      <c r="K80" s="168"/>
      <c r="L80" s="168"/>
      <c r="M80" s="570"/>
      <c r="N80" s="159">
        <v>9.375</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9.5</v>
      </c>
      <c r="C81" s="165">
        <f>'EquityForward (FL)'!C31</f>
        <v>101</v>
      </c>
      <c r="D81" s="165"/>
      <c r="E81" s="165"/>
      <c r="F81" s="562"/>
      <c r="H81" s="586">
        <v>21</v>
      </c>
      <c r="I81" s="167">
        <f t="shared" si="0"/>
        <v>9.5</v>
      </c>
      <c r="J81" s="168" t="e">
        <f t="shared" si="1"/>
        <v>#N/A</v>
      </c>
      <c r="K81" s="168"/>
      <c r="L81" s="168"/>
      <c r="M81" s="570"/>
      <c r="N81" s="159">
        <v>9.5</v>
      </c>
      <c r="O81" s="136"/>
      <c r="P81" s="136"/>
      <c r="S81" s="121"/>
      <c r="Y81" s="109"/>
      <c r="AA81" s="109"/>
      <c r="AG81" s="430"/>
      <c r="AH81" s="430"/>
      <c r="AI81" s="430"/>
      <c r="AK81"/>
      <c r="AL81"/>
      <c r="AM81"/>
      <c r="AN81"/>
      <c r="AO81"/>
      <c r="AP81"/>
      <c r="AQ81"/>
      <c r="AR81"/>
      <c r="AS81"/>
      <c r="AT81"/>
      <c r="AU81"/>
      <c r="AV81"/>
    </row>
    <row r="82" spans="2:48" x14ac:dyDescent="0.25">
      <c r="B82" s="164">
        <f>'EquityForward (FL)'!B32</f>
        <v>9.625</v>
      </c>
      <c r="C82" s="165">
        <f>'EquityForward (FL)'!C32</f>
        <v>101.25</v>
      </c>
      <c r="D82" s="165"/>
      <c r="E82" s="165"/>
      <c r="F82" s="562"/>
      <c r="H82" s="586">
        <v>22</v>
      </c>
      <c r="I82" s="167">
        <f t="shared" si="0"/>
        <v>9.625</v>
      </c>
      <c r="J82" s="168" t="e">
        <f t="shared" si="1"/>
        <v>#N/A</v>
      </c>
      <c r="K82" s="168"/>
      <c r="L82" s="168"/>
      <c r="M82" s="570"/>
      <c r="N82" s="159">
        <v>9.625</v>
      </c>
      <c r="O82" s="136"/>
      <c r="P82" s="136"/>
      <c r="S82" s="121"/>
      <c r="Y82" s="109"/>
      <c r="AA82" s="109"/>
      <c r="AK82"/>
      <c r="AL82"/>
      <c r="AM82"/>
      <c r="AN82"/>
      <c r="AO82"/>
      <c r="AP82"/>
      <c r="AQ82"/>
      <c r="AR82"/>
      <c r="AS82"/>
      <c r="AT82"/>
      <c r="AU82"/>
      <c r="AV82"/>
    </row>
    <row r="83" spans="2:48" x14ac:dyDescent="0.25">
      <c r="B83" s="164">
        <f>'EquityForward (FL)'!B33</f>
        <v>9.75</v>
      </c>
      <c r="C83" s="165">
        <f>'EquityForward (FL)'!C33</f>
        <v>101.5</v>
      </c>
      <c r="D83" s="165"/>
      <c r="E83" s="165"/>
      <c r="F83" s="562"/>
      <c r="H83" s="586">
        <v>23</v>
      </c>
      <c r="I83" s="167">
        <f t="shared" si="0"/>
        <v>9.75</v>
      </c>
      <c r="J83" s="168" t="e">
        <f t="shared" si="1"/>
        <v>#N/A</v>
      </c>
      <c r="K83" s="168"/>
      <c r="L83" s="168"/>
      <c r="M83" s="570"/>
      <c r="N83" s="159">
        <v>9.75</v>
      </c>
      <c r="O83" s="136"/>
      <c r="P83" s="136"/>
      <c r="S83" s="121"/>
      <c r="Y83" s="109"/>
      <c r="AA83" s="109"/>
      <c r="AK83"/>
      <c r="AL83"/>
      <c r="AM83"/>
      <c r="AN83"/>
      <c r="AO83"/>
      <c r="AP83"/>
      <c r="AQ83"/>
      <c r="AR83"/>
      <c r="AS83"/>
      <c r="AT83"/>
      <c r="AU83"/>
      <c r="AV83"/>
    </row>
    <row r="84" spans="2:48" x14ac:dyDescent="0.25">
      <c r="B84" s="164"/>
      <c r="C84" s="165"/>
      <c r="D84" s="165"/>
      <c r="E84" s="165"/>
      <c r="F84" s="562"/>
      <c r="H84" s="586"/>
      <c r="I84" s="167"/>
      <c r="J84" s="168"/>
      <c r="K84" s="168"/>
      <c r="L84" s="168"/>
      <c r="M84" s="570"/>
      <c r="N84" s="159"/>
      <c r="O84" s="136"/>
      <c r="P84" s="136"/>
      <c r="S84" s="121"/>
      <c r="Y84" s="109"/>
      <c r="AA84" s="109"/>
      <c r="AK84"/>
      <c r="AL84"/>
      <c r="AM84"/>
      <c r="AN84"/>
      <c r="AO84"/>
      <c r="AP84"/>
      <c r="AQ84"/>
      <c r="AR84"/>
      <c r="AS84"/>
      <c r="AT84"/>
      <c r="AU84"/>
      <c r="AV84"/>
    </row>
    <row r="85" spans="2:48" x14ac:dyDescent="0.25">
      <c r="B85" s="164"/>
      <c r="C85" s="165"/>
      <c r="D85" s="165"/>
      <c r="E85" s="165"/>
      <c r="F85" s="562"/>
      <c r="H85" s="586"/>
      <c r="I85" s="167"/>
      <c r="J85" s="168"/>
      <c r="K85" s="168"/>
      <c r="L85" s="168"/>
      <c r="M85" s="570"/>
      <c r="N85" s="159"/>
      <c r="O85" s="136"/>
      <c r="P85" s="136"/>
      <c r="S85" s="121"/>
      <c r="Y85" s="109"/>
      <c r="AA85" s="109"/>
      <c r="AB85"/>
      <c r="AC85"/>
      <c r="AD85"/>
      <c r="AE85"/>
      <c r="AF85"/>
      <c r="AG85"/>
      <c r="AH85"/>
      <c r="AI85"/>
      <c r="AJ85"/>
      <c r="AK85"/>
      <c r="AL85"/>
      <c r="AM85"/>
      <c r="AN85"/>
    </row>
    <row r="86" spans="2:48" x14ac:dyDescent="0.25">
      <c r="B86" s="164"/>
      <c r="C86" s="165"/>
      <c r="D86" s="165"/>
      <c r="E86" s="165"/>
      <c r="F86" s="562"/>
      <c r="H86" s="586"/>
      <c r="I86" s="167"/>
      <c r="J86" s="168"/>
      <c r="K86" s="168"/>
      <c r="L86" s="168"/>
      <c r="M86" s="570"/>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2"/>
      <c r="H87" s="586"/>
      <c r="I87" s="167"/>
      <c r="J87" s="168"/>
      <c r="K87" s="168"/>
      <c r="L87" s="168"/>
      <c r="M87" s="570"/>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2"/>
      <c r="H88" s="586"/>
      <c r="I88" s="167"/>
      <c r="J88" s="168"/>
      <c r="K88" s="168"/>
      <c r="L88" s="168"/>
      <c r="M88" s="570"/>
      <c r="N88" s="159"/>
      <c r="O88" s="136"/>
      <c r="P88" s="136"/>
      <c r="S88" s="121"/>
      <c r="Y88" s="109"/>
      <c r="Z88" s="109"/>
      <c r="AA88" s="109"/>
      <c r="AB88"/>
      <c r="AC88"/>
      <c r="AD88"/>
      <c r="AE88"/>
      <c r="AF88"/>
      <c r="AG88"/>
      <c r="AH88"/>
      <c r="AI88"/>
      <c r="AJ88"/>
      <c r="AK88"/>
      <c r="AL88"/>
      <c r="AM88"/>
      <c r="AN88"/>
    </row>
    <row r="89" spans="2:48" x14ac:dyDescent="0.25">
      <c r="B89" s="566"/>
      <c r="C89" s="567"/>
      <c r="D89" s="567"/>
      <c r="E89" s="567"/>
      <c r="F89" s="567"/>
      <c r="H89" s="586"/>
      <c r="I89" s="167"/>
      <c r="J89" s="168"/>
      <c r="K89" s="168"/>
      <c r="L89" s="168"/>
      <c r="M89" s="570"/>
      <c r="N89" s="159"/>
      <c r="O89" s="136"/>
      <c r="P89" s="136"/>
      <c r="S89" s="121"/>
      <c r="Y89" s="109"/>
      <c r="Z89" s="109"/>
      <c r="AA89" s="109"/>
      <c r="AB89"/>
      <c r="AC89"/>
      <c r="AD89"/>
      <c r="AE89"/>
      <c r="AF89"/>
      <c r="AG89"/>
      <c r="AH89"/>
      <c r="AI89"/>
      <c r="AJ89"/>
      <c r="AK89"/>
      <c r="AL89"/>
      <c r="AM89"/>
      <c r="AN89"/>
    </row>
    <row r="90" spans="2:48" x14ac:dyDescent="0.25">
      <c r="B90" s="566"/>
      <c r="C90" s="567"/>
      <c r="D90" s="567"/>
      <c r="E90" s="567"/>
      <c r="F90" s="567"/>
      <c r="H90" s="586"/>
      <c r="I90" s="167"/>
      <c r="J90" s="168"/>
      <c r="K90" s="168"/>
      <c r="L90" s="168"/>
      <c r="M90" s="570"/>
      <c r="N90" s="159"/>
      <c r="O90" s="136"/>
      <c r="P90" s="136"/>
      <c r="S90" s="121"/>
      <c r="Y90" s="109"/>
      <c r="AA90" s="109"/>
      <c r="AB90"/>
      <c r="AC90"/>
      <c r="AD90"/>
      <c r="AE90"/>
      <c r="AF90"/>
      <c r="AG90"/>
      <c r="AH90"/>
      <c r="AI90"/>
      <c r="AJ90"/>
      <c r="AK90"/>
      <c r="AL90"/>
      <c r="AM90"/>
      <c r="AN90"/>
    </row>
    <row r="91" spans="2:48" x14ac:dyDescent="0.25">
      <c r="B91" s="566"/>
      <c r="C91" s="567"/>
      <c r="D91" s="567"/>
      <c r="E91" s="567"/>
      <c r="F91" s="567"/>
      <c r="H91" s="586"/>
      <c r="I91" s="167"/>
      <c r="J91" s="168"/>
      <c r="K91" s="168"/>
      <c r="L91" s="168"/>
      <c r="M91" s="570"/>
      <c r="N91" s="159"/>
      <c r="O91" s="136"/>
      <c r="P91" s="136"/>
      <c r="S91" s="121"/>
      <c r="Y91" s="109"/>
      <c r="AA91" s="109"/>
      <c r="AB91"/>
      <c r="AC91"/>
      <c r="AD91"/>
      <c r="AE91"/>
      <c r="AF91"/>
      <c r="AG91"/>
      <c r="AH91"/>
      <c r="AI91"/>
      <c r="AJ91"/>
      <c r="AK91"/>
      <c r="AL91"/>
      <c r="AM91"/>
      <c r="AN91"/>
    </row>
    <row r="92" spans="2:48" x14ac:dyDescent="0.25">
      <c r="B92" s="566"/>
      <c r="C92" s="567"/>
      <c r="D92" s="567"/>
      <c r="E92" s="567"/>
      <c r="F92" s="567"/>
      <c r="H92" s="586"/>
      <c r="I92" s="167"/>
      <c r="J92" s="168"/>
      <c r="K92" s="168"/>
      <c r="L92" s="168"/>
      <c r="M92" s="570"/>
      <c r="N92" s="159"/>
      <c r="O92" s="136"/>
      <c r="P92" s="136"/>
      <c r="S92" s="121"/>
      <c r="Y92" s="109"/>
      <c r="AA92" s="109"/>
      <c r="AB92"/>
      <c r="AC92"/>
      <c r="AD92"/>
      <c r="AE92"/>
      <c r="AF92"/>
      <c r="AG92"/>
      <c r="AH92"/>
      <c r="AI92"/>
      <c r="AJ92"/>
      <c r="AK92"/>
      <c r="AL92"/>
      <c r="AM92"/>
      <c r="AN92"/>
    </row>
    <row r="93" spans="2:48" x14ac:dyDescent="0.25">
      <c r="B93" s="566"/>
      <c r="C93" s="567"/>
      <c r="D93" s="567"/>
      <c r="E93" s="567"/>
      <c r="F93" s="567"/>
      <c r="H93" s="586"/>
      <c r="I93" s="167"/>
      <c r="J93" s="168"/>
      <c r="K93" s="168"/>
      <c r="L93" s="168"/>
      <c r="M93" s="570"/>
      <c r="N93" s="159"/>
      <c r="O93" s="136"/>
      <c r="P93" s="136"/>
      <c r="S93" s="121"/>
      <c r="Y93" s="109"/>
      <c r="AA93" s="109"/>
      <c r="AB93"/>
      <c r="AC93"/>
      <c r="AD93"/>
      <c r="AE93"/>
      <c r="AF93"/>
      <c r="AG93"/>
      <c r="AH93"/>
      <c r="AI93"/>
      <c r="AJ93"/>
      <c r="AK93"/>
      <c r="AL93"/>
      <c r="AM93"/>
      <c r="AN93"/>
    </row>
    <row r="94" spans="2:48" x14ac:dyDescent="0.25">
      <c r="B94" s="566"/>
      <c r="C94" s="567"/>
      <c r="D94" s="567"/>
      <c r="E94" s="567"/>
      <c r="F94" s="567"/>
      <c r="H94" s="586"/>
      <c r="I94" s="167"/>
      <c r="J94" s="168"/>
      <c r="K94" s="168"/>
      <c r="L94" s="168"/>
      <c r="M94" s="570"/>
      <c r="N94" s="159"/>
      <c r="O94" s="136"/>
      <c r="P94" s="136"/>
      <c r="S94" s="121"/>
      <c r="Y94" s="109"/>
      <c r="AA94" s="109"/>
      <c r="AB94"/>
      <c r="AC94"/>
      <c r="AD94"/>
      <c r="AE94"/>
      <c r="AF94"/>
      <c r="AG94"/>
      <c r="AH94"/>
      <c r="AI94"/>
      <c r="AJ94"/>
      <c r="AK94"/>
      <c r="AL94"/>
      <c r="AM94"/>
      <c r="AN94"/>
    </row>
    <row r="95" spans="2:48" x14ac:dyDescent="0.25">
      <c r="B95" s="566"/>
      <c r="C95" s="567"/>
      <c r="D95" s="567"/>
      <c r="E95" s="567"/>
      <c r="F95" s="567"/>
      <c r="H95" s="586"/>
      <c r="I95" s="167"/>
      <c r="J95" s="168"/>
      <c r="K95" s="168"/>
      <c r="L95" s="168"/>
      <c r="M95" s="570"/>
      <c r="N95" s="159"/>
      <c r="O95" s="136"/>
      <c r="P95" s="136"/>
      <c r="S95" s="121"/>
      <c r="Y95" s="109"/>
      <c r="AA95" s="109"/>
      <c r="AB95"/>
      <c r="AC95"/>
      <c r="AD95"/>
      <c r="AE95"/>
      <c r="AF95"/>
      <c r="AG95"/>
      <c r="AH95"/>
      <c r="AI95"/>
      <c r="AJ95"/>
      <c r="AK95"/>
      <c r="AL95"/>
      <c r="AM95"/>
      <c r="AN95"/>
    </row>
    <row r="96" spans="2:48" x14ac:dyDescent="0.25">
      <c r="B96" s="566"/>
      <c r="C96" s="567"/>
      <c r="D96" s="567"/>
      <c r="E96" s="567"/>
      <c r="F96" s="567"/>
      <c r="H96" s="586"/>
      <c r="I96" s="167"/>
      <c r="J96" s="168"/>
      <c r="K96" s="168"/>
      <c r="L96" s="168"/>
      <c r="M96" s="570"/>
      <c r="N96" s="159"/>
      <c r="O96" s="136"/>
      <c r="P96" s="136"/>
      <c r="S96" s="121"/>
      <c r="Y96" s="109"/>
      <c r="AA96" s="109"/>
      <c r="AB96"/>
      <c r="AC96"/>
      <c r="AD96"/>
      <c r="AE96"/>
      <c r="AF96"/>
      <c r="AG96"/>
      <c r="AH96"/>
      <c r="AI96"/>
      <c r="AJ96"/>
      <c r="AK96"/>
      <c r="AL96"/>
      <c r="AM96"/>
      <c r="AN96"/>
    </row>
    <row r="97" spans="2:40" x14ac:dyDescent="0.25">
      <c r="B97" s="566"/>
      <c r="C97" s="567"/>
      <c r="D97" s="567"/>
      <c r="E97" s="567"/>
      <c r="F97" s="567"/>
      <c r="H97" s="586"/>
      <c r="I97" s="167"/>
      <c r="J97" s="168"/>
      <c r="K97" s="168"/>
      <c r="L97" s="168"/>
      <c r="M97" s="570"/>
      <c r="N97" s="159"/>
      <c r="O97" s="136"/>
      <c r="P97" s="136"/>
      <c r="S97" s="121"/>
      <c r="Y97" s="109"/>
      <c r="AA97" s="109"/>
      <c r="AB97"/>
      <c r="AC97"/>
      <c r="AD97"/>
      <c r="AE97"/>
      <c r="AF97"/>
      <c r="AG97"/>
      <c r="AH97"/>
      <c r="AI97"/>
      <c r="AJ97"/>
      <c r="AK97"/>
      <c r="AL97"/>
      <c r="AM97"/>
      <c r="AN97"/>
    </row>
    <row r="98" spans="2:40" x14ac:dyDescent="0.25">
      <c r="B98" s="566"/>
      <c r="C98" s="567"/>
      <c r="D98" s="567"/>
      <c r="E98" s="567"/>
      <c r="F98" s="567"/>
      <c r="H98" s="586"/>
      <c r="I98" s="167"/>
      <c r="J98" s="168"/>
      <c r="K98" s="168"/>
      <c r="L98" s="168"/>
      <c r="M98" s="570"/>
      <c r="N98" s="159"/>
      <c r="O98" s="136"/>
      <c r="P98" s="365"/>
      <c r="S98" s="121"/>
      <c r="Y98" s="109"/>
      <c r="AA98" s="109"/>
      <c r="AB98"/>
      <c r="AC98"/>
      <c r="AD98"/>
      <c r="AE98"/>
      <c r="AF98"/>
      <c r="AG98"/>
      <c r="AH98"/>
      <c r="AI98"/>
      <c r="AJ98"/>
      <c r="AK98"/>
      <c r="AL98"/>
      <c r="AM98"/>
      <c r="AN98"/>
    </row>
    <row r="99" spans="2:40" x14ac:dyDescent="0.25">
      <c r="B99" s="566"/>
      <c r="C99" s="567"/>
      <c r="D99" s="567"/>
      <c r="E99" s="567"/>
      <c r="F99" s="567"/>
      <c r="H99" s="586"/>
      <c r="I99" s="167"/>
      <c r="J99" s="168"/>
      <c r="K99" s="168"/>
      <c r="L99" s="168"/>
      <c r="M99" s="570"/>
      <c r="N99" s="159"/>
      <c r="O99" s="136"/>
      <c r="P99" s="136"/>
      <c r="S99" s="121"/>
      <c r="Y99" s="109"/>
      <c r="AA99" s="109"/>
      <c r="AB99"/>
      <c r="AC99"/>
      <c r="AD99"/>
      <c r="AE99"/>
      <c r="AF99"/>
      <c r="AG99"/>
      <c r="AH99"/>
      <c r="AI99"/>
      <c r="AJ99"/>
      <c r="AK99"/>
      <c r="AL99"/>
      <c r="AM99"/>
      <c r="AN99"/>
    </row>
    <row r="100" spans="2:40" x14ac:dyDescent="0.25">
      <c r="B100" s="566"/>
      <c r="C100" s="567"/>
      <c r="D100" s="567"/>
      <c r="E100" s="567"/>
      <c r="F100" s="567"/>
      <c r="H100" s="586"/>
      <c r="I100" s="167"/>
      <c r="J100" s="168"/>
      <c r="K100" s="168"/>
      <c r="L100" s="168"/>
      <c r="M100" s="570"/>
      <c r="N100" s="159"/>
      <c r="O100" s="136"/>
      <c r="P100" s="136"/>
      <c r="S100" s="121"/>
      <c r="Y100" s="109"/>
      <c r="AA100" s="109"/>
      <c r="AB100"/>
      <c r="AC100"/>
      <c r="AD100"/>
      <c r="AE100"/>
      <c r="AF100"/>
      <c r="AG100"/>
      <c r="AH100"/>
      <c r="AI100"/>
      <c r="AJ100"/>
      <c r="AK100"/>
      <c r="AL100"/>
      <c r="AM100"/>
      <c r="AN100"/>
    </row>
    <row r="101" spans="2:40" ht="15" customHeight="1" x14ac:dyDescent="0.25">
      <c r="B101" s="561"/>
      <c r="C101" s="562"/>
      <c r="D101" s="562"/>
      <c r="E101" s="562"/>
      <c r="F101" s="562"/>
      <c r="H101" s="586"/>
      <c r="I101" s="167"/>
      <c r="J101" s="168"/>
      <c r="K101" s="168"/>
      <c r="L101" s="168"/>
      <c r="M101" s="570"/>
      <c r="N101" s="159"/>
      <c r="O101" s="136"/>
      <c r="P101" s="136"/>
      <c r="S101" s="121"/>
      <c r="Y101" s="109"/>
      <c r="AA101" s="146"/>
      <c r="AB101"/>
      <c r="AC101"/>
      <c r="AD101"/>
      <c r="AE101"/>
      <c r="AF101"/>
      <c r="AG101"/>
      <c r="AH101"/>
      <c r="AI101"/>
      <c r="AJ101"/>
      <c r="AK101"/>
      <c r="AL101"/>
      <c r="AM101"/>
      <c r="AN101"/>
    </row>
    <row r="102" spans="2:40" x14ac:dyDescent="0.25">
      <c r="B102" s="561"/>
      <c r="C102" s="562"/>
      <c r="D102" s="562"/>
      <c r="E102" s="562"/>
      <c r="F102" s="562"/>
      <c r="H102" s="586"/>
      <c r="I102" s="167"/>
      <c r="J102" s="168"/>
      <c r="K102" s="168"/>
      <c r="L102" s="168"/>
      <c r="M102" s="570"/>
      <c r="N102" s="159"/>
      <c r="O102" s="136"/>
      <c r="P102" s="477"/>
      <c r="S102" s="121"/>
      <c r="Y102" s="109"/>
      <c r="AA102" s="109"/>
      <c r="AB102"/>
      <c r="AC102"/>
      <c r="AD102"/>
      <c r="AE102"/>
      <c r="AF102"/>
      <c r="AG102"/>
      <c r="AH102"/>
      <c r="AI102"/>
      <c r="AJ102"/>
      <c r="AK102"/>
      <c r="AL102"/>
      <c r="AM102"/>
      <c r="AN102"/>
    </row>
    <row r="103" spans="2:40" x14ac:dyDescent="0.25">
      <c r="B103" s="561"/>
      <c r="C103" s="562"/>
      <c r="D103" s="562"/>
      <c r="E103" s="562"/>
      <c r="F103" s="562"/>
      <c r="H103" s="586"/>
      <c r="I103" s="167"/>
      <c r="J103" s="168"/>
      <c r="K103" s="168"/>
      <c r="L103" s="168"/>
      <c r="M103" s="570"/>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8"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9" t="e">
        <f ca="1">VLOOKUP(I105,H61:I83,2,FALSE)</f>
        <v>#N/A</v>
      </c>
      <c r="J106" s="180"/>
      <c r="K106" s="587"/>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90"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18" t="e">
        <f>#REF!</f>
        <v>#REF!</v>
      </c>
      <c r="C108" s="719"/>
      <c r="D108" s="719"/>
      <c r="E108" s="185" t="s">
        <v>635</v>
      </c>
      <c r="F108"/>
      <c r="I108" s="589"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73" t="str">
        <f>'EquityForward (FL)'!B48</f>
        <v>30 Year Fixed Only</v>
      </c>
      <c r="C109" s="774"/>
      <c r="D109" s="560">
        <f>'EquityForward (FL)'!B46</f>
        <v>99</v>
      </c>
      <c r="E109" s="581">
        <f>IF(OR('EquityForward (FL)'!O23=L3),D109,"")</f>
        <v>99</v>
      </c>
      <c r="F109"/>
      <c r="I109" s="591"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07"/>
      <c r="C110" s="708"/>
      <c r="D110" s="544"/>
      <c r="E110" s="582"/>
      <c r="F110"/>
      <c r="O110" s="136"/>
      <c r="P110" s="136"/>
      <c r="S110" s="121"/>
      <c r="AA110"/>
      <c r="AB110"/>
      <c r="AC110"/>
      <c r="AD110"/>
      <c r="AE110"/>
      <c r="AF110"/>
      <c r="AG110"/>
      <c r="AH110"/>
      <c r="AI110"/>
      <c r="AJ110"/>
      <c r="AK110"/>
      <c r="AL110"/>
      <c r="AM110"/>
      <c r="AN110"/>
    </row>
    <row r="111" spans="2:40" x14ac:dyDescent="0.25">
      <c r="B111" s="707"/>
      <c r="C111" s="708"/>
      <c r="D111" s="544"/>
      <c r="E111" s="582"/>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07"/>
      <c r="C112" s="708"/>
      <c r="D112" s="544"/>
      <c r="E112" s="582"/>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07"/>
      <c r="C113" s="708"/>
      <c r="D113" s="544"/>
      <c r="E113" s="582"/>
      <c r="F113"/>
      <c r="G113"/>
      <c r="H113"/>
      <c r="I113" s="711" t="s">
        <v>636</v>
      </c>
      <c r="J113" s="712"/>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07"/>
      <c r="C114" s="708"/>
      <c r="D114" s="544"/>
      <c r="E114" s="582"/>
      <c r="F114"/>
      <c r="G114"/>
      <c r="H114"/>
      <c r="I114" s="716"/>
      <c r="J114" s="717"/>
      <c r="K114" s="196"/>
      <c r="L114" s="197"/>
      <c r="M114"/>
      <c r="O114" s="136"/>
      <c r="P114" s="136"/>
      <c r="S114" s="121"/>
      <c r="X114"/>
      <c r="Y114"/>
      <c r="Z114"/>
      <c r="AA114"/>
      <c r="AB114"/>
      <c r="AC114"/>
      <c r="AD114"/>
      <c r="AE114"/>
      <c r="AF114"/>
      <c r="AG114"/>
      <c r="AH114"/>
      <c r="AI114"/>
      <c r="AJ114"/>
      <c r="AK114"/>
    </row>
    <row r="115" spans="2:37" x14ac:dyDescent="0.25">
      <c r="B115" s="707"/>
      <c r="C115" s="708"/>
      <c r="D115" s="544"/>
      <c r="E115" s="582"/>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07"/>
      <c r="C116" s="708"/>
      <c r="D116" s="545"/>
      <c r="E116" s="582"/>
      <c r="F116"/>
      <c r="G116"/>
      <c r="H116"/>
      <c r="I116"/>
      <c r="J116"/>
      <c r="K116"/>
      <c r="L116"/>
      <c r="M116"/>
      <c r="O116" s="136"/>
      <c r="P116" s="136"/>
      <c r="S116" s="121"/>
      <c r="X116"/>
      <c r="Y116"/>
      <c r="Z116"/>
      <c r="AA116"/>
      <c r="AB116"/>
      <c r="AC116"/>
      <c r="AD116"/>
      <c r="AE116"/>
      <c r="AF116"/>
      <c r="AG116"/>
      <c r="AH116"/>
      <c r="AI116"/>
      <c r="AJ116"/>
      <c r="AK116"/>
    </row>
    <row r="117" spans="2:37" x14ac:dyDescent="0.25">
      <c r="B117" s="707"/>
      <c r="C117" s="708"/>
      <c r="D117" s="545"/>
      <c r="E117" s="582"/>
      <c r="F117"/>
      <c r="G117"/>
      <c r="H117"/>
      <c r="I117"/>
      <c r="J117"/>
      <c r="K117"/>
      <c r="L117"/>
      <c r="M117"/>
      <c r="O117" s="136"/>
      <c r="P117" s="136"/>
      <c r="S117" s="121"/>
      <c r="X117"/>
      <c r="Y117"/>
      <c r="Z117"/>
      <c r="AA117"/>
      <c r="AB117"/>
      <c r="AC117"/>
      <c r="AD117"/>
      <c r="AE117"/>
      <c r="AF117"/>
      <c r="AG117"/>
      <c r="AH117"/>
      <c r="AI117"/>
      <c r="AJ117"/>
      <c r="AK117"/>
    </row>
    <row r="118" spans="2:37" x14ac:dyDescent="0.25">
      <c r="B118" s="707"/>
      <c r="C118" s="708"/>
      <c r="D118" s="545"/>
      <c r="E118" s="582"/>
      <c r="F118"/>
      <c r="G118"/>
      <c r="H118"/>
      <c r="I118"/>
      <c r="J118"/>
      <c r="K118"/>
      <c r="L118"/>
      <c r="M118"/>
      <c r="O118" s="136"/>
      <c r="P118" s="136"/>
      <c r="S118" s="121"/>
      <c r="X118"/>
      <c r="Y118"/>
      <c r="Z118"/>
      <c r="AA118"/>
      <c r="AB118"/>
      <c r="AC118"/>
      <c r="AD118"/>
      <c r="AE118"/>
      <c r="AF118"/>
      <c r="AG118"/>
      <c r="AH118"/>
      <c r="AI118"/>
      <c r="AJ118"/>
      <c r="AK118"/>
    </row>
    <row r="119" spans="2:37" x14ac:dyDescent="0.25">
      <c r="B119" s="707"/>
      <c r="C119" s="708"/>
      <c r="D119" s="545"/>
      <c r="E119" s="582"/>
      <c r="F119"/>
      <c r="G119"/>
      <c r="H119"/>
      <c r="I119"/>
      <c r="J119"/>
      <c r="K119"/>
      <c r="L119"/>
      <c r="M119"/>
      <c r="O119" s="136"/>
      <c r="P119" s="136"/>
      <c r="S119" s="121"/>
    </row>
    <row r="120" spans="2:37" x14ac:dyDescent="0.25">
      <c r="B120" s="707"/>
      <c r="C120" s="708"/>
      <c r="D120" s="545"/>
      <c r="E120" s="582"/>
      <c r="F120"/>
      <c r="G120"/>
      <c r="H120"/>
      <c r="I120"/>
      <c r="J120"/>
      <c r="K120"/>
      <c r="L120"/>
      <c r="M120"/>
      <c r="O120" s="136"/>
      <c r="P120" s="136"/>
      <c r="S120" s="121"/>
    </row>
    <row r="121" spans="2:37" x14ac:dyDescent="0.25">
      <c r="B121" s="707"/>
      <c r="C121" s="708"/>
      <c r="D121" s="545"/>
      <c r="E121" s="583"/>
      <c r="F121"/>
      <c r="G121"/>
      <c r="H121"/>
      <c r="I121"/>
      <c r="J121"/>
      <c r="K121"/>
      <c r="L121"/>
      <c r="M121"/>
      <c r="O121" s="136"/>
      <c r="P121" s="136"/>
      <c r="S121" s="121"/>
    </row>
    <row r="122" spans="2:37" x14ac:dyDescent="0.25">
      <c r="B122" s="707"/>
      <c r="C122" s="708"/>
      <c r="D122" s="545"/>
      <c r="E122" s="583"/>
      <c r="F122"/>
      <c r="G122"/>
      <c r="H122"/>
      <c r="I122"/>
      <c r="J122"/>
      <c r="K122"/>
      <c r="L122"/>
      <c r="M122"/>
      <c r="O122" s="136"/>
      <c r="P122" s="136"/>
      <c r="S122" s="121"/>
    </row>
    <row r="123" spans="2:37" x14ac:dyDescent="0.25">
      <c r="B123" s="707"/>
      <c r="C123" s="708"/>
      <c r="D123" s="545"/>
      <c r="E123" s="582"/>
      <c r="F123"/>
      <c r="G123"/>
      <c r="H123"/>
      <c r="I123"/>
      <c r="J123"/>
      <c r="K123"/>
      <c r="L123"/>
      <c r="M123"/>
      <c r="O123" s="136"/>
      <c r="P123" s="136"/>
      <c r="S123" s="121"/>
    </row>
    <row r="124" spans="2:37" x14ac:dyDescent="0.25">
      <c r="B124" s="187"/>
      <c r="C124" s="188"/>
      <c r="D124" s="545"/>
      <c r="E124" s="582"/>
      <c r="F124"/>
      <c r="G124"/>
      <c r="H124"/>
      <c r="I124"/>
      <c r="J124"/>
      <c r="K124"/>
      <c r="L124"/>
      <c r="M124"/>
      <c r="O124" s="136"/>
      <c r="P124" s="136"/>
      <c r="S124" s="121"/>
    </row>
    <row r="125" spans="2:37" ht="15.75" thickBot="1" x14ac:dyDescent="0.3">
      <c r="B125" s="486"/>
      <c r="C125" s="487"/>
      <c r="D125" s="546"/>
      <c r="E125" s="584"/>
      <c r="F125"/>
      <c r="G125"/>
      <c r="H125"/>
      <c r="I125"/>
      <c r="J125"/>
      <c r="K125"/>
      <c r="L125"/>
      <c r="M125"/>
      <c r="O125" s="136"/>
      <c r="P125" s="136"/>
      <c r="S125" s="121"/>
    </row>
    <row r="126" spans="2:37" ht="15.75" thickBot="1" x14ac:dyDescent="0.3">
      <c r="D126" s="119" t="s">
        <v>638</v>
      </c>
      <c r="E126" s="547">
        <f>IF(E125&lt;&gt;"",E125,IF(E123&lt;&gt;"",E123,MIN(E109:E122)))</f>
        <v>99</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8" t="s">
        <v>139</v>
      </c>
      <c r="C128" s="549"/>
      <c r="D128" s="550"/>
      <c r="E128" s="551" t="s">
        <v>635</v>
      </c>
      <c r="F128"/>
      <c r="G128"/>
      <c r="H128"/>
      <c r="I128"/>
      <c r="J128"/>
      <c r="K128"/>
      <c r="L128"/>
      <c r="M128"/>
      <c r="O128" s="136"/>
      <c r="P128" s="136"/>
      <c r="S128" s="121"/>
    </row>
    <row r="129" spans="2:23" x14ac:dyDescent="0.25">
      <c r="B129" s="552"/>
      <c r="C129" s="553"/>
      <c r="D129" s="554"/>
      <c r="E129" s="558"/>
      <c r="F129"/>
      <c r="G129"/>
      <c r="H129"/>
      <c r="I129"/>
      <c r="J129"/>
      <c r="K129"/>
      <c r="L129"/>
      <c r="M129"/>
      <c r="O129" s="136"/>
      <c r="P129" s="136"/>
      <c r="S129" s="121"/>
    </row>
    <row r="130" spans="2:23" ht="15.75" thickBot="1" x14ac:dyDescent="0.3">
      <c r="B130" s="555"/>
      <c r="C130" s="556"/>
      <c r="D130" s="557"/>
      <c r="E130" s="559"/>
      <c r="F130"/>
      <c r="G130"/>
      <c r="H130"/>
      <c r="I130"/>
      <c r="J130"/>
      <c r="K130"/>
      <c r="L130"/>
      <c r="M130"/>
      <c r="O130" s="136"/>
      <c r="P130" s="136"/>
      <c r="S130" s="121"/>
    </row>
    <row r="131" spans="2:23" ht="15.75" thickBot="1" x14ac:dyDescent="0.3">
      <c r="D131" s="119" t="s">
        <v>638</v>
      </c>
      <c r="E131" s="547">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1" t="s">
        <v>765</v>
      </c>
      <c r="C139" s="121"/>
      <c r="D139" s="121"/>
      <c r="E139" s="121"/>
    </row>
    <row r="140" spans="2:23" ht="35.25" customHeight="1" x14ac:dyDescent="0.25">
      <c r="B140" s="571" t="s">
        <v>31</v>
      </c>
      <c r="C140" s="571" t="s">
        <v>765</v>
      </c>
      <c r="D140" s="548"/>
      <c r="E140" s="548"/>
    </row>
    <row r="141" spans="2:23" ht="40.5" x14ac:dyDescent="0.25">
      <c r="B141" s="538" t="s">
        <v>766</v>
      </c>
      <c r="C141" s="538" t="s">
        <v>766</v>
      </c>
      <c r="D141" s="453" t="s">
        <v>778</v>
      </c>
      <c r="E141" s="541">
        <v>0</v>
      </c>
    </row>
    <row r="142" spans="2:23" ht="40.5" x14ac:dyDescent="0.25">
      <c r="B142" s="538" t="s">
        <v>767</v>
      </c>
      <c r="C142" s="538" t="s">
        <v>767</v>
      </c>
      <c r="D142" s="453" t="s">
        <v>779</v>
      </c>
      <c r="E142" s="541">
        <v>0.15</v>
      </c>
    </row>
    <row r="143" spans="2:23" ht="40.5" x14ac:dyDescent="0.25">
      <c r="B143" s="538" t="s">
        <v>768</v>
      </c>
      <c r="C143" s="538" t="s">
        <v>768</v>
      </c>
      <c r="D143" s="453" t="s">
        <v>780</v>
      </c>
      <c r="E143" s="541">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3" t="s">
        <v>645</v>
      </c>
      <c r="O1" s="633"/>
      <c r="P1" s="633"/>
      <c r="Q1" s="2"/>
      <c r="R1" s="634"/>
      <c r="S1" s="634"/>
      <c r="T1" s="2"/>
      <c r="U1" s="2"/>
      <c r="V1" s="3"/>
    </row>
    <row r="2" spans="1:25" ht="17.45" customHeight="1" x14ac:dyDescent="0.3">
      <c r="B2" s="775" t="s">
        <v>929</v>
      </c>
      <c r="C2" s="776"/>
      <c r="D2" s="776"/>
      <c r="N2" s="635" t="s">
        <v>1</v>
      </c>
      <c r="O2" s="635"/>
      <c r="P2" s="635"/>
      <c r="Q2" s="4"/>
      <c r="R2" s="636"/>
      <c r="S2" s="636"/>
      <c r="T2" s="2"/>
      <c r="U2" s="2"/>
      <c r="V2" s="3"/>
    </row>
    <row r="3" spans="1:25" ht="17.45" customHeight="1" x14ac:dyDescent="0.25">
      <c r="B3" s="490" t="s">
        <v>823</v>
      </c>
      <c r="C3" s="661" t="s">
        <v>895</v>
      </c>
      <c r="D3" s="662"/>
      <c r="N3" s="635" t="s">
        <v>2</v>
      </c>
      <c r="O3" s="635"/>
      <c r="P3" s="635"/>
      <c r="Q3" s="4"/>
      <c r="R3" s="636"/>
      <c r="S3" s="636"/>
      <c r="T3" s="4"/>
      <c r="U3" s="4"/>
    </row>
    <row r="4" spans="1:25" ht="17.45" customHeight="1" x14ac:dyDescent="0.25">
      <c r="B4"/>
      <c r="C4"/>
      <c r="D4"/>
      <c r="F4" s="5"/>
      <c r="M4" s="6"/>
      <c r="N4" s="7"/>
      <c r="O4" s="7"/>
      <c r="P4" s="7"/>
      <c r="Q4" s="8"/>
      <c r="R4" s="4"/>
      <c r="S4" s="4"/>
      <c r="T4" s="4"/>
      <c r="U4" s="4"/>
    </row>
    <row r="5" spans="1:25" ht="17.45" customHeight="1" thickBot="1" x14ac:dyDescent="0.3">
      <c r="B5" s="494" t="s">
        <v>896</v>
      </c>
      <c r="C5" s="494">
        <f ca="1">NOW()</f>
        <v>46192.285505902779</v>
      </c>
      <c r="L5" s="9"/>
      <c r="M5" s="637" t="s">
        <v>3</v>
      </c>
      <c r="N5" s="637"/>
      <c r="O5" s="638">
        <v>46190</v>
      </c>
      <c r="P5" s="638"/>
      <c r="Q5" s="8"/>
      <c r="T5" s="3"/>
      <c r="U5" s="3"/>
    </row>
    <row r="6" spans="1:25" ht="17.45" customHeight="1" x14ac:dyDescent="0.25">
      <c r="A6" s="239"/>
      <c r="B6" s="787" t="s">
        <v>4</v>
      </c>
      <c r="C6" s="788"/>
      <c r="D6" s="788"/>
      <c r="E6" s="242"/>
      <c r="F6" s="843" t="s">
        <v>646</v>
      </c>
      <c r="G6" s="844"/>
      <c r="H6" s="844"/>
      <c r="I6" s="844"/>
      <c r="J6" s="844"/>
      <c r="K6" s="844"/>
      <c r="L6" s="844"/>
      <c r="M6" s="844"/>
      <c r="N6" s="844"/>
      <c r="O6" s="844"/>
      <c r="P6" s="845"/>
      <c r="Q6" s="241"/>
      <c r="R6" s="240"/>
      <c r="S6" s="843" t="s">
        <v>5</v>
      </c>
      <c r="T6" s="844"/>
      <c r="U6" s="844"/>
      <c r="V6" s="845"/>
      <c r="W6" s="240"/>
    </row>
    <row r="7" spans="1:25" ht="17.45" customHeight="1" x14ac:dyDescent="0.25">
      <c r="A7" s="239"/>
      <c r="B7" s="787"/>
      <c r="C7" s="788"/>
      <c r="D7" s="788"/>
      <c r="E7" s="242"/>
      <c r="F7" s="846"/>
      <c r="G7" s="847"/>
      <c r="H7" s="847"/>
      <c r="I7" s="847"/>
      <c r="J7" s="847"/>
      <c r="K7" s="847"/>
      <c r="L7" s="847"/>
      <c r="M7" s="847"/>
      <c r="N7" s="847"/>
      <c r="O7" s="847"/>
      <c r="P7" s="848"/>
      <c r="Q7" s="241"/>
      <c r="R7" s="240"/>
      <c r="S7" s="849"/>
      <c r="T7" s="850"/>
      <c r="U7" s="850"/>
      <c r="V7" s="851"/>
      <c r="W7" s="240"/>
    </row>
    <row r="8" spans="1:25" ht="15.75" customHeight="1" x14ac:dyDescent="0.25">
      <c r="A8" s="239"/>
      <c r="B8" s="783"/>
      <c r="C8" s="784"/>
      <c r="D8" s="784"/>
      <c r="E8" s="240"/>
      <c r="F8" s="212"/>
      <c r="G8" s="214"/>
      <c r="H8" s="214"/>
      <c r="I8" s="214"/>
      <c r="J8" s="214"/>
      <c r="K8" s="214"/>
      <c r="L8" s="214"/>
      <c r="M8" s="214"/>
      <c r="N8" s="214"/>
      <c r="O8" s="214"/>
      <c r="P8" s="213"/>
      <c r="Q8" s="240"/>
      <c r="R8" s="240"/>
      <c r="S8" s="212"/>
      <c r="T8" s="214"/>
      <c r="U8" s="214"/>
      <c r="V8" s="213"/>
      <c r="W8" s="239"/>
    </row>
    <row r="9" spans="1:25" ht="15.75" x14ac:dyDescent="0.25">
      <c r="A9" s="239"/>
      <c r="B9" s="789" t="s">
        <v>6</v>
      </c>
      <c r="C9" s="790"/>
      <c r="D9" s="790"/>
      <c r="E9" s="240"/>
      <c r="F9" s="852" t="s">
        <v>7</v>
      </c>
      <c r="G9" s="853"/>
      <c r="H9" s="853"/>
      <c r="I9" s="853"/>
      <c r="J9" s="853"/>
      <c r="K9" s="853"/>
      <c r="L9" s="853"/>
      <c r="M9" s="853"/>
      <c r="N9" s="853"/>
      <c r="O9" s="853"/>
      <c r="P9" s="854"/>
      <c r="Q9" s="260"/>
      <c r="R9" s="240"/>
      <c r="S9" s="215"/>
      <c r="T9" s="216"/>
      <c r="U9" s="217" t="s">
        <v>8</v>
      </c>
      <c r="V9" s="218"/>
      <c r="W9" s="240"/>
    </row>
    <row r="10" spans="1:25" ht="15.75" customHeight="1" x14ac:dyDescent="0.25">
      <c r="A10" s="239"/>
      <c r="B10" s="219" t="s">
        <v>9</v>
      </c>
      <c r="C10" s="220" t="s">
        <v>209</v>
      </c>
      <c r="D10" s="220" t="s">
        <v>220</v>
      </c>
      <c r="E10" s="240"/>
      <c r="F10" s="837" t="s">
        <v>11</v>
      </c>
      <c r="G10" s="838"/>
      <c r="H10" s="221" t="s">
        <v>12</v>
      </c>
      <c r="I10" s="221" t="s">
        <v>13</v>
      </c>
      <c r="J10" s="221" t="s">
        <v>14</v>
      </c>
      <c r="K10" s="221" t="s">
        <v>15</v>
      </c>
      <c r="L10" s="221" t="s">
        <v>16</v>
      </c>
      <c r="M10" s="221" t="s">
        <v>17</v>
      </c>
      <c r="N10" s="221" t="s">
        <v>18</v>
      </c>
      <c r="O10" s="221" t="s">
        <v>19</v>
      </c>
      <c r="P10" s="220" t="s">
        <v>20</v>
      </c>
      <c r="Q10" s="261"/>
      <c r="R10" s="240"/>
      <c r="S10" s="839" t="s">
        <v>21</v>
      </c>
      <c r="T10" s="840"/>
      <c r="U10" s="16" t="s">
        <v>31</v>
      </c>
      <c r="V10" s="232"/>
      <c r="W10" s="240"/>
    </row>
    <row r="11" spans="1:25" ht="14.25" customHeight="1" x14ac:dyDescent="0.25">
      <c r="A11" s="239"/>
      <c r="B11" s="222">
        <v>5.875</v>
      </c>
      <c r="C11" s="23">
        <v>96.663000000000025</v>
      </c>
      <c r="D11" s="23">
        <v>96.363000000000028</v>
      </c>
      <c r="E11" s="240"/>
      <c r="F11" s="841" t="s">
        <v>22</v>
      </c>
      <c r="G11" s="842">
        <v>0</v>
      </c>
      <c r="H11" s="17">
        <v>0.875</v>
      </c>
      <c r="I11" s="17">
        <v>0.625</v>
      </c>
      <c r="J11" s="17">
        <v>0.625</v>
      </c>
      <c r="K11" s="17">
        <v>0.625</v>
      </c>
      <c r="L11" s="17">
        <v>0.5</v>
      </c>
      <c r="M11" s="17">
        <v>0.22500000000000001</v>
      </c>
      <c r="N11" s="17">
        <v>-0.5</v>
      </c>
      <c r="O11" s="17">
        <v>-1.625</v>
      </c>
      <c r="P11" s="18">
        <v>-3.5249999999999999</v>
      </c>
      <c r="Q11" s="262"/>
      <c r="R11" s="240"/>
      <c r="S11" s="820" t="s">
        <v>23</v>
      </c>
      <c r="T11" s="821"/>
      <c r="U11" s="19" t="s">
        <v>31</v>
      </c>
      <c r="V11" s="232"/>
      <c r="W11" s="240"/>
      <c r="X11" s="20"/>
      <c r="Y11" s="20"/>
    </row>
    <row r="12" spans="1:25" x14ac:dyDescent="0.25">
      <c r="A12" s="239"/>
      <c r="B12" s="222">
        <v>5.9989999999999997</v>
      </c>
      <c r="C12" s="23">
        <v>97.413000000000011</v>
      </c>
      <c r="D12" s="23">
        <v>97.113000000000028</v>
      </c>
      <c r="E12" s="240"/>
      <c r="F12" s="835" t="s">
        <v>24</v>
      </c>
      <c r="G12" s="836">
        <v>0</v>
      </c>
      <c r="H12" s="21">
        <v>0.65</v>
      </c>
      <c r="I12" s="21">
        <v>0.58799999999999997</v>
      </c>
      <c r="J12" s="17">
        <v>0.58799999999999997</v>
      </c>
      <c r="K12" s="21">
        <v>0.5</v>
      </c>
      <c r="L12" s="21">
        <v>0.375</v>
      </c>
      <c r="M12" s="21">
        <v>0.125</v>
      </c>
      <c r="N12" s="21">
        <v>-0.625</v>
      </c>
      <c r="O12" s="21">
        <v>-2.125</v>
      </c>
      <c r="P12" s="22">
        <v>-3.7749999999999999</v>
      </c>
      <c r="Q12" s="262"/>
      <c r="R12" s="240"/>
      <c r="S12" s="820" t="s">
        <v>25</v>
      </c>
      <c r="T12" s="821"/>
      <c r="U12" s="19" t="s">
        <v>31</v>
      </c>
      <c r="V12" s="232" t="b">
        <f>IF(ISNUMBER(MATCH($U$11,'Feed(WS)'!$B$3:$B$11,0)),
   INDEX($H$11:$P$20,MATCH($U$12,$F$11:$F$20,0),MATCH($U$11,$H$10:$P$10,0)))</f>
        <v>0</v>
      </c>
      <c r="W12" s="240"/>
      <c r="X12" s="20"/>
      <c r="Y12" s="20"/>
    </row>
    <row r="13" spans="1:25" ht="15.75" customHeight="1" x14ac:dyDescent="0.25">
      <c r="A13" s="239"/>
      <c r="B13" s="222">
        <v>6.125</v>
      </c>
      <c r="C13" s="23">
        <v>98.037500000000009</v>
      </c>
      <c r="D13" s="23">
        <v>97.737500000000026</v>
      </c>
      <c r="E13" s="240"/>
      <c r="F13" s="835" t="s">
        <v>26</v>
      </c>
      <c r="G13" s="836">
        <v>0</v>
      </c>
      <c r="H13" s="21">
        <v>0.58799999999999997</v>
      </c>
      <c r="I13" s="21">
        <v>0.5</v>
      </c>
      <c r="J13" s="17">
        <v>0.5</v>
      </c>
      <c r="K13" s="21">
        <v>0.375</v>
      </c>
      <c r="L13" s="21">
        <v>0.125</v>
      </c>
      <c r="M13" s="21">
        <v>-0.375</v>
      </c>
      <c r="N13" s="21">
        <v>-0.875</v>
      </c>
      <c r="O13" s="21">
        <v>-2.375</v>
      </c>
      <c r="P13" s="22">
        <v>-4.0250000000000004</v>
      </c>
      <c r="Q13" s="262"/>
      <c r="R13" s="240"/>
      <c r="S13" s="820" t="s">
        <v>27</v>
      </c>
      <c r="T13" s="821"/>
      <c r="U13" s="19" t="s">
        <v>28</v>
      </c>
      <c r="V13" s="232" t="e">
        <f>IF(OR($U$11="", $U$13=""), "",
   INDEX($H$23:$P$24,
         MATCH($U$13,$F$23:$F$24,0),
         MATCH($U$11,$H$10:$P$10,0)))</f>
        <v>#N/A</v>
      </c>
      <c r="W13" s="240"/>
      <c r="X13" s="20"/>
      <c r="Y13" s="20"/>
    </row>
    <row r="14" spans="1:25" ht="15.75" customHeight="1" x14ac:dyDescent="0.25">
      <c r="A14" s="239"/>
      <c r="B14" s="222">
        <v>6.25</v>
      </c>
      <c r="C14" s="23">
        <v>98.575500000000005</v>
      </c>
      <c r="D14" s="23">
        <v>98.275500000000022</v>
      </c>
      <c r="E14" s="240"/>
      <c r="F14" s="835" t="s">
        <v>29</v>
      </c>
      <c r="G14" s="836">
        <v>0</v>
      </c>
      <c r="H14" s="21">
        <v>0.5</v>
      </c>
      <c r="I14" s="21">
        <v>0.375</v>
      </c>
      <c r="J14" s="17">
        <v>0.375</v>
      </c>
      <c r="K14" s="21">
        <v>0.125</v>
      </c>
      <c r="L14" s="21">
        <v>-0.25</v>
      </c>
      <c r="M14" s="21">
        <v>-0.6</v>
      </c>
      <c r="N14" s="21">
        <v>-1.1499999999999999</v>
      </c>
      <c r="O14" s="21">
        <v>-3.125</v>
      </c>
      <c r="P14" s="22">
        <v>-4.5250000000000004</v>
      </c>
      <c r="Q14" s="262"/>
      <c r="R14" s="240"/>
      <c r="S14" s="820" t="s">
        <v>30</v>
      </c>
      <c r="T14" s="821"/>
      <c r="U14" s="19" t="s">
        <v>31</v>
      </c>
      <c r="V14" s="232">
        <f>'Feed(WS)'!$O$168</f>
        <v>0</v>
      </c>
      <c r="W14" s="240"/>
      <c r="X14" s="20"/>
      <c r="Y14" s="20"/>
    </row>
    <row r="15" spans="1:25" x14ac:dyDescent="0.25">
      <c r="A15" s="239"/>
      <c r="B15" s="222">
        <v>6.375</v>
      </c>
      <c r="C15" s="23">
        <v>99.075500000000005</v>
      </c>
      <c r="D15" s="23">
        <v>98.775500000000022</v>
      </c>
      <c r="E15" s="240"/>
      <c r="F15" s="835" t="s">
        <v>32</v>
      </c>
      <c r="G15" s="836">
        <v>0</v>
      </c>
      <c r="H15" s="21">
        <v>0.125</v>
      </c>
      <c r="I15" s="21">
        <v>-0.125</v>
      </c>
      <c r="J15" s="17">
        <v>-0.125</v>
      </c>
      <c r="K15" s="21">
        <v>-0.5</v>
      </c>
      <c r="L15" s="21">
        <v>-0.625</v>
      </c>
      <c r="M15" s="21">
        <v>-1.125</v>
      </c>
      <c r="N15" s="21">
        <v>-2.0249999999999999</v>
      </c>
      <c r="O15" s="21">
        <v>-3.875</v>
      </c>
      <c r="P15" s="22">
        <v>-5.2750000000000004</v>
      </c>
      <c r="Q15" s="262"/>
      <c r="R15" s="240"/>
      <c r="S15" s="820" t="s">
        <v>33</v>
      </c>
      <c r="T15" s="821"/>
      <c r="U15" s="19" t="s">
        <v>34</v>
      </c>
      <c r="V15" s="232" t="e">
        <f>IF(OR($U$11="", $U$15=""), "",
   INDEX($H$78:$P$82,
         MATCH($U$15,$F$78:$F$82,0),
         MATCH($U$11,$H$10:$P$10,0)))</f>
        <v>#N/A</v>
      </c>
      <c r="W15" s="240"/>
      <c r="X15" s="20"/>
      <c r="Y15" s="20"/>
    </row>
    <row r="16" spans="1:25" ht="14.25" customHeight="1" x14ac:dyDescent="0.25">
      <c r="A16" s="239"/>
      <c r="B16" s="222">
        <v>6.4989999999999997</v>
      </c>
      <c r="C16" s="23">
        <v>99.512500000000017</v>
      </c>
      <c r="D16" s="23">
        <v>99.21250000000002</v>
      </c>
      <c r="E16" s="240"/>
      <c r="F16" s="835" t="s">
        <v>35</v>
      </c>
      <c r="G16" s="836">
        <v>0</v>
      </c>
      <c r="H16" s="21">
        <v>-0.125</v>
      </c>
      <c r="I16" s="21">
        <v>-0.25</v>
      </c>
      <c r="J16" s="17">
        <v>-0.35</v>
      </c>
      <c r="K16" s="21">
        <v>-0.625</v>
      </c>
      <c r="L16" s="21">
        <v>-1.125</v>
      </c>
      <c r="M16" s="21">
        <v>-1.75</v>
      </c>
      <c r="N16" s="21">
        <v>-3.05</v>
      </c>
      <c r="O16" s="21">
        <v>-4.875</v>
      </c>
      <c r="P16" s="224" t="e">
        <v>#N/A</v>
      </c>
      <c r="Q16" s="262"/>
      <c r="R16" s="240"/>
      <c r="S16" s="820" t="s">
        <v>36</v>
      </c>
      <c r="T16" s="821"/>
      <c r="U16" s="19" t="s">
        <v>37</v>
      </c>
      <c r="V16" s="232">
        <f>IF(OR($U$11="", $U$16="", $U$16="NONE"),0,
   INDEX($H$84:$P$87,
         MATCH($U$16,$F$84:$F$87,0),
         MATCH($U$11,$H$10:$P$10,0)))</f>
        <v>0</v>
      </c>
      <c r="W16" s="240"/>
      <c r="X16" s="20"/>
      <c r="Y16" s="20"/>
    </row>
    <row r="17" spans="1:25" x14ac:dyDescent="0.25">
      <c r="A17" s="239"/>
      <c r="B17" s="222">
        <v>6.625</v>
      </c>
      <c r="C17" s="23">
        <v>99.910500000000013</v>
      </c>
      <c r="D17" s="23">
        <v>99.610500000000016</v>
      </c>
      <c r="E17" s="240"/>
      <c r="F17" s="835" t="s">
        <v>38</v>
      </c>
      <c r="G17" s="836">
        <v>0</v>
      </c>
      <c r="H17" s="21">
        <v>-0.625</v>
      </c>
      <c r="I17" s="21">
        <v>-0.625</v>
      </c>
      <c r="J17" s="17">
        <v>-0.5</v>
      </c>
      <c r="K17" s="21">
        <v>-0.875</v>
      </c>
      <c r="L17" s="21">
        <v>-1.375</v>
      </c>
      <c r="M17" s="21">
        <v>-2.7250000000000001</v>
      </c>
      <c r="N17" s="21">
        <v>-4</v>
      </c>
      <c r="O17" s="225" t="e">
        <v>#N/A</v>
      </c>
      <c r="P17" s="224" t="e">
        <v>#N/A</v>
      </c>
      <c r="Q17" s="262"/>
      <c r="R17" s="240"/>
      <c r="S17" s="820" t="s">
        <v>39</v>
      </c>
      <c r="T17" s="821"/>
      <c r="U17" s="19" t="s">
        <v>31</v>
      </c>
      <c r="V17" s="232">
        <v>0</v>
      </c>
      <c r="W17" s="240"/>
      <c r="X17" s="20"/>
      <c r="Y17" s="20"/>
    </row>
    <row r="18" spans="1:25" x14ac:dyDescent="0.25">
      <c r="A18" s="239"/>
      <c r="B18" s="222">
        <v>6.75</v>
      </c>
      <c r="C18" s="23">
        <v>100.30150000000002</v>
      </c>
      <c r="D18" s="23">
        <v>100.00150000000002</v>
      </c>
      <c r="E18" s="240"/>
      <c r="F18" s="835" t="s">
        <v>40</v>
      </c>
      <c r="G18" s="836">
        <v>0</v>
      </c>
      <c r="H18" s="21">
        <v>-1.375</v>
      </c>
      <c r="I18" s="21">
        <v>-1.5</v>
      </c>
      <c r="J18" s="17">
        <v>-1.75</v>
      </c>
      <c r="K18" s="21">
        <v>-2</v>
      </c>
      <c r="L18" s="21">
        <v>-2.25</v>
      </c>
      <c r="M18" s="21">
        <v>-3.875</v>
      </c>
      <c r="N18" s="21">
        <v>-4.9000000000000004</v>
      </c>
      <c r="O18" s="225" t="e">
        <v>#N/A</v>
      </c>
      <c r="P18" s="224" t="e">
        <v>#N/A</v>
      </c>
      <c r="Q18" s="262"/>
      <c r="R18" s="240"/>
      <c r="S18" s="820" t="s">
        <v>41</v>
      </c>
      <c r="T18" s="821"/>
      <c r="U18" s="19" t="s">
        <v>31</v>
      </c>
      <c r="V18" s="232" t="e">
        <f>IF(OR($U$11="", $U$18="", $U$18="None in this Dropdown"),0,
   INDEX($H$26:$P$30,
         MATCH($U$18,$F$26:$F$30,0),
         MATCH($U$11,$H$10:$P$10,0)))</f>
        <v>#N/A</v>
      </c>
      <c r="W18" s="240"/>
      <c r="X18" s="20"/>
      <c r="Y18" s="20"/>
    </row>
    <row r="19" spans="1:25" ht="15.75" customHeight="1" x14ac:dyDescent="0.25">
      <c r="A19" s="239"/>
      <c r="B19" s="222">
        <v>6.875</v>
      </c>
      <c r="C19" s="23">
        <v>100.68450000000001</v>
      </c>
      <c r="D19" s="23">
        <v>100.38450000000002</v>
      </c>
      <c r="E19" s="240"/>
      <c r="F19" s="835" t="s">
        <v>42</v>
      </c>
      <c r="G19" s="836">
        <v>0</v>
      </c>
      <c r="H19" s="21">
        <v>-2.5</v>
      </c>
      <c r="I19" s="21">
        <v>-2.5</v>
      </c>
      <c r="J19" s="17">
        <v>-2.625</v>
      </c>
      <c r="K19" s="21">
        <v>-2.7749999999999999</v>
      </c>
      <c r="L19" s="21">
        <v>-3.2749999999999999</v>
      </c>
      <c r="M19" s="21">
        <v>-4.7750000000000004</v>
      </c>
      <c r="N19" s="21">
        <v>-5.875</v>
      </c>
      <c r="O19" s="225" t="e">
        <v>#N/A</v>
      </c>
      <c r="P19" s="224" t="e">
        <v>#N/A</v>
      </c>
      <c r="Q19" s="262"/>
      <c r="R19" s="240"/>
      <c r="S19" s="820" t="s">
        <v>592</v>
      </c>
      <c r="T19" s="821"/>
      <c r="U19" s="19" t="s">
        <v>31</v>
      </c>
      <c r="V19" s="232">
        <f>'Feed(WS)'!$R$163</f>
        <v>0</v>
      </c>
      <c r="W19" s="240"/>
      <c r="X19" s="20"/>
      <c r="Y19" s="20"/>
    </row>
    <row r="20" spans="1:25" ht="15.75" customHeight="1" x14ac:dyDescent="0.25">
      <c r="A20" s="239"/>
      <c r="B20" s="222">
        <v>6.9989999999999997</v>
      </c>
      <c r="C20" s="23">
        <v>101.05950000000001</v>
      </c>
      <c r="D20" s="23">
        <v>100.75950000000002</v>
      </c>
      <c r="E20" s="240"/>
      <c r="F20" s="835" t="s">
        <v>44</v>
      </c>
      <c r="G20" s="836">
        <v>0</v>
      </c>
      <c r="H20" s="21">
        <v>-3</v>
      </c>
      <c r="I20" s="21">
        <v>-3.25</v>
      </c>
      <c r="J20" s="17">
        <v>-3.5</v>
      </c>
      <c r="K20" s="21">
        <v>-3.75</v>
      </c>
      <c r="L20" s="21">
        <v>-4.25</v>
      </c>
      <c r="M20" s="21">
        <v>-5.625</v>
      </c>
      <c r="N20" s="21">
        <v>-6.625</v>
      </c>
      <c r="O20" s="225" t="e">
        <v>#N/A</v>
      </c>
      <c r="P20" s="224" t="e">
        <v>#N/A</v>
      </c>
      <c r="Q20" s="262"/>
      <c r="R20" s="240"/>
      <c r="S20" s="820" t="s">
        <v>45</v>
      </c>
      <c r="T20" s="821"/>
      <c r="U20" s="19" t="s">
        <v>31</v>
      </c>
      <c r="V20" s="232">
        <f>'Feed(WS)'!$Q$163</f>
        <v>0</v>
      </c>
      <c r="W20" s="240"/>
      <c r="X20" s="20"/>
      <c r="Y20" s="20"/>
    </row>
    <row r="21" spans="1:25" ht="15.75" customHeight="1" x14ac:dyDescent="0.25">
      <c r="A21" s="239"/>
      <c r="B21" s="222">
        <v>7.125</v>
      </c>
      <c r="C21" s="23">
        <v>101.42650000000002</v>
      </c>
      <c r="D21" s="23">
        <v>101.12650000000002</v>
      </c>
      <c r="E21" s="240"/>
      <c r="F21" s="856"/>
      <c r="G21" s="857"/>
      <c r="H21" s="857"/>
      <c r="I21" s="857"/>
      <c r="J21" s="857"/>
      <c r="K21" s="857"/>
      <c r="L21" s="857"/>
      <c r="M21" s="857"/>
      <c r="N21" s="857"/>
      <c r="O21" s="857"/>
      <c r="P21" s="858"/>
      <c r="Q21" s="262"/>
      <c r="R21" s="240"/>
      <c r="S21" s="820" t="s">
        <v>46</v>
      </c>
      <c r="T21" s="821"/>
      <c r="U21" s="19" t="s">
        <v>31</v>
      </c>
      <c r="V21" s="232" t="e">
        <f>IF(OR($U$11="", $U$21=""), "",
   INDEX($H$39:$P$49,
         MATCH($U$21,$F$39:$F$49,0),
         MATCH($U$11,$H$10:$P$10,0)))</f>
        <v>#N/A</v>
      </c>
      <c r="W21" s="240"/>
      <c r="X21" s="20"/>
    </row>
    <row r="22" spans="1:25" x14ac:dyDescent="0.25">
      <c r="A22" s="239"/>
      <c r="B22" s="222">
        <v>7.25</v>
      </c>
      <c r="C22" s="23">
        <v>101.78550000000001</v>
      </c>
      <c r="D22" s="23">
        <v>101.48550000000002</v>
      </c>
      <c r="E22" s="240"/>
      <c r="F22" s="815" t="s">
        <v>27</v>
      </c>
      <c r="G22" s="855"/>
      <c r="H22" s="855"/>
      <c r="I22" s="855"/>
      <c r="J22" s="855"/>
      <c r="K22" s="855"/>
      <c r="L22" s="855"/>
      <c r="M22" s="855"/>
      <c r="N22" s="855"/>
      <c r="O22" s="855"/>
      <c r="P22" s="816"/>
      <c r="Q22" s="240"/>
      <c r="R22" s="240"/>
      <c r="S22" s="820" t="s">
        <v>47</v>
      </c>
      <c r="T22" s="821"/>
      <c r="U22" s="19" t="s">
        <v>31</v>
      </c>
      <c r="V22" s="232" t="e">
        <f>IF(OR($U$11="", $U$22=""), "",
   INDEX($H$33:$P$37,
         MATCH($U$22,$F$33:$F$37,0),
         MATCH($U$11,$H$10:$P$10,0)))</f>
        <v>#N/A</v>
      </c>
      <c r="W22" s="240"/>
    </row>
    <row r="23" spans="1:25" ht="15.75" customHeight="1" x14ac:dyDescent="0.25">
      <c r="A23" s="239"/>
      <c r="B23" s="222">
        <v>7.375</v>
      </c>
      <c r="C23" s="23">
        <v>102.13750000000002</v>
      </c>
      <c r="D23" s="23">
        <v>101.83750000000002</v>
      </c>
      <c r="E23" s="240"/>
      <c r="F23" s="618" t="s">
        <v>48</v>
      </c>
      <c r="G23" s="619"/>
      <c r="H23" s="25">
        <v>0.5</v>
      </c>
      <c r="I23" s="25">
        <v>0.5</v>
      </c>
      <c r="J23" s="25">
        <v>0.5</v>
      </c>
      <c r="K23" s="25">
        <v>0.5</v>
      </c>
      <c r="L23" s="25">
        <v>0.5</v>
      </c>
      <c r="M23" s="25">
        <v>0.5</v>
      </c>
      <c r="N23" s="25">
        <v>0.5</v>
      </c>
      <c r="O23" s="25">
        <v>0.5</v>
      </c>
      <c r="P23" s="26" t="e">
        <v>#N/A</v>
      </c>
      <c r="Q23" s="240"/>
      <c r="R23" s="240"/>
      <c r="S23" s="820" t="s">
        <v>49</v>
      </c>
      <c r="T23" s="821"/>
      <c r="U23" s="19" t="s">
        <v>31</v>
      </c>
      <c r="V23" s="232">
        <f>'Feed(WS)'!$P$168</f>
        <v>0</v>
      </c>
      <c r="W23" s="240"/>
      <c r="Y23" s="27"/>
    </row>
    <row r="24" spans="1:25" ht="15.75" customHeight="1" x14ac:dyDescent="0.25">
      <c r="A24" s="239"/>
      <c r="B24" s="222">
        <v>7.4989999999999997</v>
      </c>
      <c r="C24" s="23">
        <v>102.48150000000001</v>
      </c>
      <c r="D24" s="23">
        <v>102.18150000000001</v>
      </c>
      <c r="E24" s="240"/>
      <c r="F24" s="618" t="s">
        <v>28</v>
      </c>
      <c r="G24" s="619"/>
      <c r="H24" s="25">
        <v>0</v>
      </c>
      <c r="I24" s="25">
        <v>0</v>
      </c>
      <c r="J24" s="25">
        <v>0</v>
      </c>
      <c r="K24" s="25">
        <v>0</v>
      </c>
      <c r="L24" s="25">
        <v>0</v>
      </c>
      <c r="M24" s="25">
        <v>0</v>
      </c>
      <c r="N24" s="25">
        <v>0</v>
      </c>
      <c r="O24" s="25">
        <v>0</v>
      </c>
      <c r="P24" s="26">
        <v>0</v>
      </c>
      <c r="Q24" s="240"/>
      <c r="R24" s="240"/>
      <c r="S24" s="820" t="s">
        <v>50</v>
      </c>
      <c r="T24" s="821"/>
      <c r="U24" s="19" t="s">
        <v>31</v>
      </c>
      <c r="V24" s="232">
        <f>'Feed(WS)'!$P$163</f>
        <v>0</v>
      </c>
      <c r="W24" s="240"/>
      <c r="Y24" s="27"/>
    </row>
    <row r="25" spans="1:25" ht="15.75" customHeight="1" x14ac:dyDescent="0.25">
      <c r="A25" s="239"/>
      <c r="B25" s="222">
        <v>7.625</v>
      </c>
      <c r="C25" s="23">
        <v>102.81750000000002</v>
      </c>
      <c r="D25" s="23">
        <v>102.51750000000003</v>
      </c>
      <c r="E25" s="240"/>
      <c r="F25" s="815" t="s">
        <v>51</v>
      </c>
      <c r="G25" s="855"/>
      <c r="H25" s="855"/>
      <c r="I25" s="855"/>
      <c r="J25" s="855"/>
      <c r="K25" s="855"/>
      <c r="L25" s="855"/>
      <c r="M25" s="855"/>
      <c r="N25" s="855"/>
      <c r="O25" s="855"/>
      <c r="P25" s="816"/>
      <c r="Q25" s="240"/>
      <c r="R25" s="240"/>
      <c r="S25" s="820" t="s">
        <v>52</v>
      </c>
      <c r="T25" s="821"/>
      <c r="U25" s="19" t="s">
        <v>53</v>
      </c>
      <c r="V25" s="232" t="e">
        <f>'Feed(WS)'!$O$163</f>
        <v>#N/A</v>
      </c>
      <c r="W25" s="240"/>
    </row>
    <row r="26" spans="1:25" x14ac:dyDescent="0.25">
      <c r="A26" s="239"/>
      <c r="B26" s="222">
        <v>7.75</v>
      </c>
      <c r="C26" s="23">
        <v>103.14550000000001</v>
      </c>
      <c r="D26" s="23">
        <v>102.84550000000002</v>
      </c>
      <c r="E26" s="240"/>
      <c r="F26" s="618" t="s">
        <v>54</v>
      </c>
      <c r="G26" s="619"/>
      <c r="H26" s="25">
        <v>-0.25</v>
      </c>
      <c r="I26" s="25">
        <v>-0.25</v>
      </c>
      <c r="J26" s="25">
        <v>-0.25</v>
      </c>
      <c r="K26" s="25">
        <v>-0.25</v>
      </c>
      <c r="L26" s="25">
        <v>-0.25</v>
      </c>
      <c r="M26" s="25">
        <v>-0.25</v>
      </c>
      <c r="N26" s="25">
        <v>-0.25</v>
      </c>
      <c r="O26" s="25">
        <v>-0.25</v>
      </c>
      <c r="P26" s="26">
        <v>-0.5</v>
      </c>
      <c r="Q26" s="240"/>
      <c r="R26" s="240"/>
      <c r="S26" s="820" t="s">
        <v>55</v>
      </c>
      <c r="T26" s="821"/>
      <c r="U26" s="19" t="s">
        <v>56</v>
      </c>
      <c r="V26" s="232" t="e">
        <f>'Feed(WS)'!$Q$168</f>
        <v>#N/A</v>
      </c>
      <c r="W26" s="240"/>
    </row>
    <row r="27" spans="1:25" ht="15.75" customHeight="1" x14ac:dyDescent="0.25">
      <c r="A27" s="239"/>
      <c r="B27" s="222">
        <v>7.875</v>
      </c>
      <c r="C27" s="23">
        <v>103.46550000000002</v>
      </c>
      <c r="D27" s="23">
        <v>103.16550000000002</v>
      </c>
      <c r="E27" s="240"/>
      <c r="F27" s="618" t="s">
        <v>57</v>
      </c>
      <c r="G27" s="619"/>
      <c r="H27" s="25">
        <v>-0.25</v>
      </c>
      <c r="I27" s="25">
        <v>-0.25</v>
      </c>
      <c r="J27" s="25">
        <v>-0.25</v>
      </c>
      <c r="K27" s="25">
        <v>-0.25</v>
      </c>
      <c r="L27" s="25">
        <v>-0.25</v>
      </c>
      <c r="M27" s="25">
        <v>-0.25</v>
      </c>
      <c r="N27" s="25">
        <v>-0.25</v>
      </c>
      <c r="O27" s="25">
        <v>-0.25</v>
      </c>
      <c r="P27" s="26">
        <v>-0.5</v>
      </c>
      <c r="Q27" s="240"/>
      <c r="R27" s="240"/>
      <c r="S27" s="820" t="s">
        <v>58</v>
      </c>
      <c r="T27" s="821"/>
      <c r="U27" s="19" t="s">
        <v>31</v>
      </c>
      <c r="V27" s="232">
        <f>IF($U$11="", "",
   IF($U$27="Choose a Selection",0,
      INDEX($H$57:$P$68,
           MATCH($U$27,$F$57:$F$68,0),
           MATCH($U$11,$H$10:$P$10,0))))</f>
        <v>0</v>
      </c>
      <c r="W27" s="240"/>
      <c r="X27" s="3"/>
    </row>
    <row r="28" spans="1:25" ht="15.75" customHeight="1" x14ac:dyDescent="0.25">
      <c r="A28" s="239"/>
      <c r="B28" s="222">
        <v>7.9989999999999997</v>
      </c>
      <c r="C28" s="23">
        <v>103.74650000000001</v>
      </c>
      <c r="D28" s="23">
        <v>103.44650000000001</v>
      </c>
      <c r="E28" s="240"/>
      <c r="F28" s="618" t="s">
        <v>59</v>
      </c>
      <c r="G28" s="619"/>
      <c r="H28" s="25">
        <v>-0.375</v>
      </c>
      <c r="I28" s="25">
        <v>-0.5</v>
      </c>
      <c r="J28" s="25">
        <v>-0.5</v>
      </c>
      <c r="K28" s="25">
        <v>-0.5</v>
      </c>
      <c r="L28" s="25">
        <v>-0.75</v>
      </c>
      <c r="M28" s="25">
        <v>-1</v>
      </c>
      <c r="N28" s="25">
        <v>-1.5</v>
      </c>
      <c r="O28" s="25" t="e">
        <v>#N/A</v>
      </c>
      <c r="P28" s="26" t="e">
        <v>#N/A</v>
      </c>
      <c r="Q28" s="240"/>
      <c r="R28" s="240"/>
      <c r="S28" s="820" t="s">
        <v>60</v>
      </c>
      <c r="T28" s="821"/>
      <c r="U28" s="19"/>
      <c r="V28" s="232">
        <v>0</v>
      </c>
      <c r="W28" s="240"/>
      <c r="X28" s="3"/>
    </row>
    <row r="29" spans="1:25" x14ac:dyDescent="0.25">
      <c r="A29" s="239"/>
      <c r="B29" s="222">
        <v>8.125</v>
      </c>
      <c r="C29" s="23">
        <v>103.99650000000001</v>
      </c>
      <c r="D29" s="23">
        <v>103.69650000000001</v>
      </c>
      <c r="E29" s="240"/>
      <c r="F29" s="618" t="s">
        <v>61</v>
      </c>
      <c r="G29" s="619"/>
      <c r="H29" s="25">
        <v>-0.125</v>
      </c>
      <c r="I29" s="25">
        <v>-0.25</v>
      </c>
      <c r="J29" s="25">
        <v>-0.25</v>
      </c>
      <c r="K29" s="25">
        <v>-0.25</v>
      </c>
      <c r="L29" s="25">
        <v>-0.25</v>
      </c>
      <c r="M29" s="25">
        <v>-0.25</v>
      </c>
      <c r="N29" s="25">
        <v>-0.375</v>
      </c>
      <c r="O29" s="25">
        <v>-0.375</v>
      </c>
      <c r="P29" s="26">
        <v>-0.5</v>
      </c>
      <c r="Q29" s="240"/>
      <c r="R29" s="240"/>
      <c r="S29" s="820" t="s">
        <v>62</v>
      </c>
      <c r="T29" s="821"/>
      <c r="U29" s="19" t="s">
        <v>31</v>
      </c>
      <c r="V29" s="232">
        <v>0</v>
      </c>
      <c r="W29" s="240"/>
      <c r="X29" s="28"/>
    </row>
    <row r="30" spans="1:25" x14ac:dyDescent="0.25">
      <c r="A30" s="239"/>
      <c r="B30" s="222">
        <v>8.25</v>
      </c>
      <c r="C30" s="23">
        <v>104.24650000000001</v>
      </c>
      <c r="D30" s="23">
        <v>103.94650000000001</v>
      </c>
      <c r="E30" s="240"/>
      <c r="F30" s="618" t="s">
        <v>63</v>
      </c>
      <c r="G30" s="619"/>
      <c r="H30" s="25">
        <v>-0.75</v>
      </c>
      <c r="I30" s="25">
        <v>-0.75</v>
      </c>
      <c r="J30" s="25">
        <v>-0.75</v>
      </c>
      <c r="K30" s="25">
        <v>-0.75</v>
      </c>
      <c r="L30" s="25">
        <v>-1</v>
      </c>
      <c r="M30" s="25">
        <v>-1.5</v>
      </c>
      <c r="N30" s="25">
        <v>-2</v>
      </c>
      <c r="O30" s="25" t="e">
        <v>#N/A</v>
      </c>
      <c r="P30" s="26" t="e">
        <v>#N/A</v>
      </c>
      <c r="Q30" s="240"/>
      <c r="R30" s="240"/>
      <c r="S30" s="820" t="s">
        <v>64</v>
      </c>
      <c r="T30" s="821"/>
      <c r="U30" s="29" t="s">
        <v>65</v>
      </c>
      <c r="V30" s="232" t="e">
        <f>'Feed(WS)'!$R$168</f>
        <v>#N/A</v>
      </c>
      <c r="W30" s="240"/>
    </row>
    <row r="31" spans="1:25" x14ac:dyDescent="0.25">
      <c r="A31" s="239"/>
      <c r="B31" s="222">
        <v>8.375</v>
      </c>
      <c r="C31" s="23">
        <v>104.49650000000001</v>
      </c>
      <c r="D31" s="23">
        <v>104.19650000000001</v>
      </c>
      <c r="E31" s="240"/>
      <c r="F31" s="618" t="s">
        <v>737</v>
      </c>
      <c r="G31" s="619"/>
      <c r="H31" s="25">
        <v>0.25</v>
      </c>
      <c r="I31" s="25">
        <v>0.25</v>
      </c>
      <c r="J31" s="25">
        <v>0.25</v>
      </c>
      <c r="K31" s="25">
        <v>0.25</v>
      </c>
      <c r="L31" s="25">
        <v>0.25</v>
      </c>
      <c r="M31" s="25">
        <v>0.25</v>
      </c>
      <c r="N31" s="25">
        <v>0.25</v>
      </c>
      <c r="O31" s="25">
        <v>0.25</v>
      </c>
      <c r="P31" s="26">
        <v>0.25</v>
      </c>
      <c r="Q31" s="240"/>
      <c r="R31" s="240"/>
      <c r="S31" s="820" t="s">
        <v>66</v>
      </c>
      <c r="T31" s="821"/>
      <c r="U31" s="29" t="s">
        <v>67</v>
      </c>
      <c r="V31" s="232" cm="1">
        <f t="array" ref="V31">IF(OR(
      AND(OR($U$31='Feed(WS)'!$R$4:$R$5), $U$22&lt;&gt;'Feed(WS)'!$J$3),
      AND(OR($U$31='Feed(WS)'!$R$4:$R$5), $U$25&lt;&gt;'Feed(WS)'!$M$4),
      AND(OR($U$31='Feed(WS)'!$R$4:$R$5), $U$23&lt;&gt;'Feed(WS)'!$L$3:$L$4),
   ),
   NA(),
   0)</f>
        <v>0</v>
      </c>
      <c r="W31" s="240"/>
    </row>
    <row r="32" spans="1:25" x14ac:dyDescent="0.25">
      <c r="A32" s="239"/>
      <c r="B32" s="222">
        <v>8.4990000000000006</v>
      </c>
      <c r="C32" s="23">
        <v>104.74650000000001</v>
      </c>
      <c r="D32" s="23">
        <v>104.44650000000001</v>
      </c>
      <c r="E32" s="240"/>
      <c r="F32" s="815" t="s">
        <v>47</v>
      </c>
      <c r="G32" s="855"/>
      <c r="H32" s="855"/>
      <c r="I32" s="855"/>
      <c r="J32" s="855"/>
      <c r="K32" s="855"/>
      <c r="L32" s="855"/>
      <c r="M32" s="855"/>
      <c r="N32" s="855"/>
      <c r="O32" s="855"/>
      <c r="P32" s="816"/>
      <c r="Q32" s="240"/>
      <c r="R32" s="240"/>
      <c r="S32" s="820" t="s">
        <v>69</v>
      </c>
      <c r="T32" s="821"/>
      <c r="U32" s="29" t="s">
        <v>67</v>
      </c>
      <c r="V32" s="232">
        <f>IF($U$11="","",
   IF($U$32="","",
      IF(OR($U$32="No",$U$32="Choose a Selection"),0,
         INDEX($H$70:$P$76,
              MATCH(IF($U$32="Yes",$S$32,$U$32),$F$70:$F$76,0),
              MATCH($U$11,$H$10:$P$10,0)))))</f>
        <v>0</v>
      </c>
      <c r="W32" s="240"/>
    </row>
    <row r="33" spans="1:25" ht="15.75" customHeight="1" x14ac:dyDescent="0.25">
      <c r="A33" s="239"/>
      <c r="B33" s="222">
        <v>8.625</v>
      </c>
      <c r="C33" s="23">
        <v>104.99650000000001</v>
      </c>
      <c r="D33" s="23">
        <v>104.69650000000001</v>
      </c>
      <c r="E33" s="240"/>
      <c r="F33" s="620" t="s">
        <v>68</v>
      </c>
      <c r="G33" s="621"/>
      <c r="H33" s="25">
        <v>0</v>
      </c>
      <c r="I33" s="25">
        <v>0</v>
      </c>
      <c r="J33" s="25">
        <v>0</v>
      </c>
      <c r="K33" s="25">
        <v>0</v>
      </c>
      <c r="L33" s="25">
        <v>0</v>
      </c>
      <c r="M33" s="25">
        <v>0</v>
      </c>
      <c r="N33" s="25">
        <v>0</v>
      </c>
      <c r="O33" s="25">
        <v>0</v>
      </c>
      <c r="P33" s="26">
        <v>0</v>
      </c>
      <c r="Q33" s="240"/>
      <c r="R33" s="240"/>
      <c r="S33" s="820" t="s">
        <v>71</v>
      </c>
      <c r="T33" s="821"/>
      <c r="U33" s="30" t="str">
        <f>IF(ISNA(V33),"Yes",IF(V33=0,"No",""))</f>
        <v>No</v>
      </c>
      <c r="V33" s="232">
        <f>'Feed(WS)'!$B$67</f>
        <v>0</v>
      </c>
      <c r="W33" s="240"/>
    </row>
    <row r="34" spans="1:25" x14ac:dyDescent="0.25">
      <c r="A34" s="239"/>
      <c r="B34" s="222">
        <v>8.75</v>
      </c>
      <c r="C34" s="23">
        <v>105.18450000000001</v>
      </c>
      <c r="D34" s="23">
        <v>104.88450000000002</v>
      </c>
      <c r="E34" s="240"/>
      <c r="F34" s="620" t="s">
        <v>70</v>
      </c>
      <c r="G34" s="621"/>
      <c r="H34" s="25">
        <v>0</v>
      </c>
      <c r="I34" s="25">
        <v>0</v>
      </c>
      <c r="J34" s="25">
        <v>0</v>
      </c>
      <c r="K34" s="25">
        <v>0</v>
      </c>
      <c r="L34" s="25">
        <v>0</v>
      </c>
      <c r="M34" s="25">
        <v>0</v>
      </c>
      <c r="N34" s="25">
        <v>-0.125</v>
      </c>
      <c r="O34" s="25">
        <v>-0.125</v>
      </c>
      <c r="P34" s="26" t="e">
        <v>#N/A</v>
      </c>
      <c r="Q34" s="240"/>
      <c r="R34" s="240"/>
      <c r="S34" s="820" t="s">
        <v>769</v>
      </c>
      <c r="T34" s="821"/>
      <c r="U34" s="29" t="s">
        <v>31</v>
      </c>
      <c r="V34" s="232" t="str">
        <f>IF(U34="Tier 1 States",V78,IF(U34="Tier 2 States",V80,IF(U34="Tier 3 States",V82,"0.000")))</f>
        <v>0.000</v>
      </c>
      <c r="W34" s="240"/>
    </row>
    <row r="35" spans="1:25" ht="15.75" customHeight="1" x14ac:dyDescent="0.25">
      <c r="A35" s="239"/>
      <c r="B35" s="222">
        <v>8.875</v>
      </c>
      <c r="C35" s="23">
        <v>105.37150000000001</v>
      </c>
      <c r="D35" s="23">
        <v>105.07150000000001</v>
      </c>
      <c r="E35" s="240"/>
      <c r="F35" s="620" t="s">
        <v>72</v>
      </c>
      <c r="G35" s="621"/>
      <c r="H35" s="25">
        <v>0</v>
      </c>
      <c r="I35" s="25">
        <v>-0.125</v>
      </c>
      <c r="J35" s="25">
        <v>-0.125</v>
      </c>
      <c r="K35" s="25">
        <v>-0.25</v>
      </c>
      <c r="L35" s="25">
        <v>-0.25</v>
      </c>
      <c r="M35" s="25">
        <v>-0.25</v>
      </c>
      <c r="N35" s="25">
        <v>-0.5</v>
      </c>
      <c r="O35" s="25" t="e">
        <v>#N/A</v>
      </c>
      <c r="P35" s="26" t="e">
        <v>#N/A</v>
      </c>
      <c r="Q35" s="240"/>
      <c r="R35" s="240"/>
      <c r="S35" s="820" t="str">
        <f>IF('Feed(WS)'!Z1=0,"",INDEX('Feed(WS)'!$AA$1:$AA$3,MATCH('Feed(WS)'!Z1,'Feed(WS)'!$Z$1:$Z$3,0)))</f>
        <v xml:space="preserve">Special </v>
      </c>
      <c r="T35" s="821"/>
      <c r="U35" s="30" t="str">
        <f>IF(V35=FALSE,"Not Applicable",'Feed(WS)'!Y5)</f>
        <v>Not Applicable</v>
      </c>
      <c r="V35" s="232" t="b">
        <f>'Feed(WS)'!$Z$1</f>
        <v>0</v>
      </c>
      <c r="W35" s="240"/>
    </row>
    <row r="36" spans="1:25" x14ac:dyDescent="0.25">
      <c r="A36" s="239"/>
      <c r="B36" s="222">
        <v>8.9990000000000006</v>
      </c>
      <c r="C36" s="23">
        <v>105.55950000000001</v>
      </c>
      <c r="D36" s="23">
        <v>105.25950000000002</v>
      </c>
      <c r="E36" s="240"/>
      <c r="F36" s="620" t="s">
        <v>75</v>
      </c>
      <c r="G36" s="621"/>
      <c r="H36" s="25">
        <v>-0.25</v>
      </c>
      <c r="I36" s="25">
        <v>-0.25</v>
      </c>
      <c r="J36" s="25">
        <v>-0.25</v>
      </c>
      <c r="K36" s="25">
        <v>-0.25</v>
      </c>
      <c r="L36" s="25">
        <v>-0.25</v>
      </c>
      <c r="M36" s="25">
        <v>-0.5</v>
      </c>
      <c r="N36" s="25">
        <v>-0.5</v>
      </c>
      <c r="O36" s="25" t="e">
        <v>#N/A</v>
      </c>
      <c r="P36" s="26" t="e">
        <v>#N/A</v>
      </c>
      <c r="Q36" s="240"/>
      <c r="R36" s="240"/>
      <c r="S36" s="822" t="s">
        <v>77</v>
      </c>
      <c r="T36" s="823"/>
      <c r="U36" s="824"/>
      <c r="V36" s="442" t="e">
        <f>SUM($V$12:$V$35)</f>
        <v>#N/A</v>
      </c>
      <c r="W36" s="240"/>
    </row>
    <row r="37" spans="1:25" ht="15.75" customHeight="1" x14ac:dyDescent="0.25">
      <c r="A37" s="239"/>
      <c r="B37" s="222">
        <v>9.125</v>
      </c>
      <c r="C37" s="23">
        <v>105.74650000000001</v>
      </c>
      <c r="D37" s="23">
        <v>105.44650000000001</v>
      </c>
      <c r="E37" s="240"/>
      <c r="F37" s="620" t="s">
        <v>76</v>
      </c>
      <c r="G37" s="621"/>
      <c r="H37" s="25">
        <v>-0.5</v>
      </c>
      <c r="I37" s="25">
        <v>-0.5</v>
      </c>
      <c r="J37" s="25">
        <v>-0.625</v>
      </c>
      <c r="K37" s="25">
        <v>-0.625</v>
      </c>
      <c r="L37" s="25">
        <v>-0.75</v>
      </c>
      <c r="M37" s="25">
        <v>-1</v>
      </c>
      <c r="N37" s="25" t="e">
        <v>#N/A</v>
      </c>
      <c r="O37" s="25" t="e">
        <v>#N/A</v>
      </c>
      <c r="P37" s="26" t="e">
        <v>#N/A</v>
      </c>
      <c r="Q37" s="263"/>
      <c r="R37" s="240"/>
      <c r="S37" s="822" t="s">
        <v>79</v>
      </c>
      <c r="T37" s="823"/>
      <c r="U37" s="824"/>
      <c r="V37" s="442" t="str">
        <f>IFERROR(INDEX(C10:D50, MATCH(U10, B10:B50, 0), MATCH(U17, C10:D10, 0)), "#N/A")</f>
        <v>#N/A</v>
      </c>
      <c r="W37" s="240"/>
      <c r="Y37" s="28"/>
    </row>
    <row r="38" spans="1:25" ht="15.75" customHeight="1" x14ac:dyDescent="0.25">
      <c r="A38" s="239"/>
      <c r="B38" s="222">
        <v>9.25</v>
      </c>
      <c r="C38" s="23">
        <v>105.93450000000001</v>
      </c>
      <c r="D38" s="23">
        <v>105.63450000000002</v>
      </c>
      <c r="E38" s="240"/>
      <c r="F38" s="800" t="s">
        <v>78</v>
      </c>
      <c r="G38" s="801"/>
      <c r="H38" s="801"/>
      <c r="I38" s="801"/>
      <c r="J38" s="801"/>
      <c r="K38" s="801"/>
      <c r="L38" s="801"/>
      <c r="M38" s="801"/>
      <c r="N38" s="801"/>
      <c r="O38" s="801"/>
      <c r="P38" s="802"/>
      <c r="Q38" s="240"/>
      <c r="R38" s="240"/>
      <c r="S38" s="822" t="s">
        <v>81</v>
      </c>
      <c r="T38" s="823"/>
      <c r="U38" s="824"/>
      <c r="V38" s="442" t="str">
        <f>IFERROR(IF(AND(OR(U19='Feed(WS)'!P6),U10&lt;T69),"Minimum Rate",IF(AND($U$10&lt;&gt;'Feed(WS)'!$K$134,V39=T66),NA(),V37+V36+S84)),"Minimum Rate")</f>
        <v>Minimum Rate</v>
      </c>
      <c r="W38" s="240"/>
    </row>
    <row r="39" spans="1:25" x14ac:dyDescent="0.25">
      <c r="A39" s="239"/>
      <c r="B39" s="222">
        <v>9.375</v>
      </c>
      <c r="C39" s="23">
        <v>106.12150000000001</v>
      </c>
      <c r="D39" s="23">
        <v>105.82150000000001</v>
      </c>
      <c r="E39" s="240"/>
      <c r="F39" s="620" t="s">
        <v>80</v>
      </c>
      <c r="G39" s="621"/>
      <c r="H39" s="25">
        <v>-0.5</v>
      </c>
      <c r="I39" s="25">
        <v>-0.75</v>
      </c>
      <c r="J39" s="25">
        <v>-0.75</v>
      </c>
      <c r="K39" s="25">
        <v>-0.75</v>
      </c>
      <c r="L39" s="25">
        <v>-0.75</v>
      </c>
      <c r="M39" s="25">
        <v>-0.875</v>
      </c>
      <c r="N39" s="25">
        <v>-1</v>
      </c>
      <c r="O39" s="25">
        <v>-1.25</v>
      </c>
      <c r="P39" s="26">
        <v>-1.25</v>
      </c>
      <c r="Q39" s="240"/>
      <c r="R39" s="240"/>
      <c r="S39" s="822" t="s">
        <v>83</v>
      </c>
      <c r="T39" s="823"/>
      <c r="U39" s="824"/>
      <c r="V39" s="442" t="e">
        <f>IF(OR('Feed(WS)'!$E$147=0, ISERROR('Feed(WS)'!$E$147)), NA(), 'Feed(WS)'!$E$147)</f>
        <v>#N/A</v>
      </c>
      <c r="W39" s="240"/>
    </row>
    <row r="40" spans="1:25" ht="14.25" customHeight="1" x14ac:dyDescent="0.25">
      <c r="A40" s="239"/>
      <c r="B40" s="222">
        <v>9.4990000000000006</v>
      </c>
      <c r="C40" s="23">
        <v>106.30950000000001</v>
      </c>
      <c r="D40" s="23">
        <v>106.00950000000002</v>
      </c>
      <c r="E40" s="240"/>
      <c r="F40" s="620" t="s">
        <v>82</v>
      </c>
      <c r="G40" s="621"/>
      <c r="H40" s="25">
        <v>0</v>
      </c>
      <c r="I40" s="25">
        <v>0</v>
      </c>
      <c r="J40" s="25">
        <v>-0.125</v>
      </c>
      <c r="K40" s="25">
        <v>-0.125</v>
      </c>
      <c r="L40" s="25">
        <v>-0.125</v>
      </c>
      <c r="M40" s="25">
        <v>-0.125</v>
      </c>
      <c r="N40" s="25">
        <v>-0.25</v>
      </c>
      <c r="O40" s="25">
        <v>-0.25</v>
      </c>
      <c r="P40" s="26">
        <v>-0.25</v>
      </c>
      <c r="Q40" s="240"/>
      <c r="R40" s="240"/>
      <c r="S40" s="829" t="s">
        <v>85</v>
      </c>
      <c r="T40" s="830"/>
      <c r="U40" s="860"/>
      <c r="V40" s="234" t="e">
        <f>IF(OR($V$36="#NA",$V$37="#NA"),NA(),IF(AND($U$10&lt;&gt;'Feed(WS)'!$K$134,$V$39=$T$66),NA(),IF($V$38&gt;$V$39,$V$39,$V$38)))</f>
        <v>#N/A</v>
      </c>
      <c r="W40" s="240"/>
    </row>
    <row r="41" spans="1:25" ht="14.25" customHeight="1" x14ac:dyDescent="0.25">
      <c r="A41" s="239"/>
      <c r="B41" s="222">
        <v>9.625</v>
      </c>
      <c r="C41" s="23">
        <v>106.49650000000001</v>
      </c>
      <c r="D41" s="23">
        <v>106.19650000000001</v>
      </c>
      <c r="E41" s="240"/>
      <c r="F41" s="620" t="s">
        <v>776</v>
      </c>
      <c r="G41" s="621"/>
      <c r="H41" s="25">
        <v>0.125</v>
      </c>
      <c r="I41" s="25">
        <v>0.125</v>
      </c>
      <c r="J41" s="25">
        <v>0.125</v>
      </c>
      <c r="K41" s="25">
        <v>0.125</v>
      </c>
      <c r="L41" s="25">
        <v>0.125</v>
      </c>
      <c r="M41" s="25">
        <v>0.125</v>
      </c>
      <c r="N41" s="25">
        <v>0.125</v>
      </c>
      <c r="O41" s="25">
        <v>0</v>
      </c>
      <c r="P41" s="26">
        <v>0</v>
      </c>
      <c r="Q41" s="240"/>
      <c r="R41" s="240"/>
      <c r="S41" s="829" t="str" cm="1">
        <f t="array" ref="S41">IF(OR($U$11:$U$25="Choose a Selection"),"",CONCATENATE('Feed(WS)'!$I$134," ",'Feed(WS)'!$K$134,"%"&amp;" @ "&amp;'Feed(WS)'!$L$134))</f>
        <v/>
      </c>
      <c r="T41" s="830"/>
      <c r="U41" s="830"/>
      <c r="V41" s="831"/>
      <c r="W41" s="240"/>
    </row>
    <row r="42" spans="1:25" ht="15.75" customHeight="1" x14ac:dyDescent="0.25">
      <c r="A42" s="239"/>
      <c r="B42" s="222">
        <v>9.75</v>
      </c>
      <c r="C42" s="23">
        <v>106.68450000000001</v>
      </c>
      <c r="D42" s="23">
        <v>106.38450000000002</v>
      </c>
      <c r="E42" s="240"/>
      <c r="F42" s="620" t="s">
        <v>777</v>
      </c>
      <c r="G42" s="621"/>
      <c r="H42" s="25">
        <v>0.375</v>
      </c>
      <c r="I42" s="25">
        <v>0.375</v>
      </c>
      <c r="J42" s="25">
        <v>0.375</v>
      </c>
      <c r="K42" s="25">
        <v>0.375</v>
      </c>
      <c r="L42" s="25">
        <v>0.375</v>
      </c>
      <c r="M42" s="25">
        <v>0.25</v>
      </c>
      <c r="N42" s="25">
        <v>0.25</v>
      </c>
      <c r="O42" s="25">
        <v>0.25</v>
      </c>
      <c r="P42" s="26">
        <v>0.25</v>
      </c>
      <c r="Q42" s="240"/>
      <c r="R42" s="240"/>
      <c r="S42" s="827" t="s">
        <v>759</v>
      </c>
      <c r="T42" s="828"/>
      <c r="U42" s="828"/>
      <c r="V42" s="832"/>
      <c r="W42" s="240"/>
    </row>
    <row r="43" spans="1:25" ht="14.25" customHeight="1" x14ac:dyDescent="0.25">
      <c r="A43" s="239"/>
      <c r="B43" s="222">
        <v>9.875</v>
      </c>
      <c r="C43" s="23">
        <v>106.80950000000001</v>
      </c>
      <c r="D43" s="23">
        <v>106.50950000000002</v>
      </c>
      <c r="E43" s="240"/>
      <c r="F43" s="625" t="s">
        <v>86</v>
      </c>
      <c r="G43" s="626"/>
      <c r="H43" s="25">
        <v>0.625</v>
      </c>
      <c r="I43" s="25">
        <v>0.375</v>
      </c>
      <c r="J43" s="25">
        <v>0.375</v>
      </c>
      <c r="K43" s="25">
        <v>0.25</v>
      </c>
      <c r="L43" s="25">
        <v>0.25</v>
      </c>
      <c r="M43" s="25">
        <v>0.25</v>
      </c>
      <c r="N43" s="25">
        <v>0.25</v>
      </c>
      <c r="O43" s="25">
        <v>0</v>
      </c>
      <c r="P43" s="26">
        <v>0</v>
      </c>
      <c r="Q43" s="264"/>
      <c r="R43" s="240"/>
      <c r="S43" s="827" t="s">
        <v>760</v>
      </c>
      <c r="T43" s="828"/>
      <c r="U43" s="825">
        <v>500000</v>
      </c>
      <c r="V43" s="826"/>
      <c r="W43" s="240"/>
    </row>
    <row r="44" spans="1:25" ht="15.75" customHeight="1" x14ac:dyDescent="0.25">
      <c r="A44" s="239"/>
      <c r="B44" s="222">
        <v>9.9990000000000006</v>
      </c>
      <c r="C44" s="23">
        <v>106.93450000000001</v>
      </c>
      <c r="D44" s="23">
        <v>106.63450000000002</v>
      </c>
      <c r="E44" s="240"/>
      <c r="F44" s="625" t="s">
        <v>87</v>
      </c>
      <c r="G44" s="626"/>
      <c r="H44" s="25">
        <v>0.25</v>
      </c>
      <c r="I44" s="25">
        <v>0.25</v>
      </c>
      <c r="J44" s="25">
        <v>0.125</v>
      </c>
      <c r="K44" s="25">
        <v>0.125</v>
      </c>
      <c r="L44" s="25">
        <v>0.125</v>
      </c>
      <c r="M44" s="25">
        <v>0.125</v>
      </c>
      <c r="N44" s="25">
        <v>0.125</v>
      </c>
      <c r="O44" s="25">
        <v>0</v>
      </c>
      <c r="P44" s="26">
        <v>0</v>
      </c>
      <c r="Q44" s="240"/>
      <c r="R44" s="240"/>
      <c r="S44" s="827" t="s">
        <v>761</v>
      </c>
      <c r="T44" s="828"/>
      <c r="U44" s="459">
        <v>2.25</v>
      </c>
      <c r="V44" s="460">
        <f>U44/100*U43</f>
        <v>11250</v>
      </c>
      <c r="W44" s="240"/>
    </row>
    <row r="45" spans="1:25" ht="14.25" customHeight="1" x14ac:dyDescent="0.25">
      <c r="A45" s="239"/>
      <c r="B45" s="222">
        <v>10.125</v>
      </c>
      <c r="C45" s="23">
        <v>107.05950000000001</v>
      </c>
      <c r="D45" s="23">
        <v>106.75950000000002</v>
      </c>
      <c r="E45" s="240"/>
      <c r="F45" s="625" t="s">
        <v>89</v>
      </c>
      <c r="G45" s="626"/>
      <c r="H45" s="25">
        <v>-0.25</v>
      </c>
      <c r="I45" s="25">
        <v>-0.25</v>
      </c>
      <c r="J45" s="25">
        <v>-0.25</v>
      </c>
      <c r="K45" s="25">
        <v>-0.25</v>
      </c>
      <c r="L45" s="25">
        <v>-0.25</v>
      </c>
      <c r="M45" s="25">
        <v>-0.25</v>
      </c>
      <c r="N45" s="25">
        <v>-0.375</v>
      </c>
      <c r="O45" s="25">
        <v>-0.5</v>
      </c>
      <c r="P45" s="26" t="e">
        <v>#N/A</v>
      </c>
      <c r="Q45" s="240"/>
      <c r="R45" s="240"/>
      <c r="S45" s="827" t="s">
        <v>762</v>
      </c>
      <c r="T45" s="828"/>
      <c r="U45" s="461"/>
      <c r="V45" s="462">
        <f>U45/U43*100</f>
        <v>0</v>
      </c>
      <c r="W45" s="240"/>
    </row>
    <row r="46" spans="1:25" ht="14.25" customHeight="1" x14ac:dyDescent="0.25">
      <c r="A46" s="239"/>
      <c r="B46" s="222">
        <v>10.25</v>
      </c>
      <c r="C46" s="23">
        <v>107.18450000000001</v>
      </c>
      <c r="D46" s="23">
        <v>106.88450000000002</v>
      </c>
      <c r="E46" s="240"/>
      <c r="F46" s="625" t="s">
        <v>90</v>
      </c>
      <c r="G46" s="626"/>
      <c r="H46" s="25">
        <v>-0.5</v>
      </c>
      <c r="I46" s="25">
        <v>-0.5</v>
      </c>
      <c r="J46" s="25">
        <v>-0.5</v>
      </c>
      <c r="K46" s="25">
        <v>-0.5</v>
      </c>
      <c r="L46" s="25">
        <v>-0.5</v>
      </c>
      <c r="M46" s="25">
        <v>-0.5</v>
      </c>
      <c r="N46" s="25">
        <v>-0.5</v>
      </c>
      <c r="O46" s="25" t="e">
        <v>#N/A</v>
      </c>
      <c r="P46" s="26" t="e">
        <v>#N/A</v>
      </c>
      <c r="Q46" s="240"/>
      <c r="R46" s="240"/>
      <c r="S46" s="833" t="s">
        <v>763</v>
      </c>
      <c r="T46" s="834"/>
      <c r="U46" s="833">
        <f>U44+V45</f>
        <v>2.25</v>
      </c>
      <c r="V46" s="834"/>
      <c r="W46" s="240"/>
    </row>
    <row r="47" spans="1:25" ht="14.25" customHeight="1" x14ac:dyDescent="0.25">
      <c r="A47" s="239"/>
      <c r="B47" s="222">
        <v>10.375</v>
      </c>
      <c r="C47" s="23">
        <v>107.30950000000001</v>
      </c>
      <c r="D47" s="23">
        <v>107.00950000000002</v>
      </c>
      <c r="E47" s="240"/>
      <c r="F47" s="625" t="s">
        <v>91</v>
      </c>
      <c r="G47" s="626"/>
      <c r="H47" s="25">
        <v>-1</v>
      </c>
      <c r="I47" s="25">
        <v>-1</v>
      </c>
      <c r="J47" s="25">
        <v>-1</v>
      </c>
      <c r="K47" s="25">
        <v>-1</v>
      </c>
      <c r="L47" s="25">
        <v>-1</v>
      </c>
      <c r="M47" s="25">
        <v>-1</v>
      </c>
      <c r="N47" s="25">
        <v>-1</v>
      </c>
      <c r="O47" s="25" t="e">
        <v>#N/A</v>
      </c>
      <c r="P47" s="26" t="e">
        <v>#N/A</v>
      </c>
      <c r="Q47" s="240"/>
      <c r="R47" s="240"/>
      <c r="S47" s="643" t="s">
        <v>764</v>
      </c>
      <c r="T47" s="644"/>
      <c r="U47" s="808" t="e">
        <f>V40-U46</f>
        <v>#N/A</v>
      </c>
      <c r="V47" s="809"/>
      <c r="W47" s="240"/>
    </row>
    <row r="48" spans="1:25" ht="15.75" customHeight="1" x14ac:dyDescent="0.25">
      <c r="A48" s="239"/>
      <c r="B48" s="222">
        <v>10.499000000000001</v>
      </c>
      <c r="C48" s="23">
        <v>107.43450000000001</v>
      </c>
      <c r="D48" s="23">
        <v>107.13450000000002</v>
      </c>
      <c r="E48" s="240"/>
      <c r="F48" s="625" t="s">
        <v>92</v>
      </c>
      <c r="G48" s="626"/>
      <c r="H48" s="25">
        <v>-2</v>
      </c>
      <c r="I48" s="25">
        <v>-2</v>
      </c>
      <c r="J48" s="25">
        <v>-2</v>
      </c>
      <c r="K48" s="25">
        <v>-2</v>
      </c>
      <c r="L48" s="25">
        <v>-2</v>
      </c>
      <c r="M48" s="25" t="e">
        <v>#N/A</v>
      </c>
      <c r="N48" s="25" t="e">
        <v>#N/A</v>
      </c>
      <c r="O48" s="25" t="e">
        <v>#N/A</v>
      </c>
      <c r="P48" s="26" t="e">
        <v>#N/A</v>
      </c>
      <c r="Q48" s="240"/>
      <c r="R48" s="240"/>
      <c r="S48" s="810" t="s">
        <v>775</v>
      </c>
      <c r="T48" s="811"/>
      <c r="U48" s="811"/>
      <c r="V48" s="811"/>
      <c r="W48" s="240"/>
    </row>
    <row r="49" spans="1:23" ht="15.75" customHeight="1" x14ac:dyDescent="0.25">
      <c r="A49" s="239"/>
      <c r="B49" s="222">
        <v>10.625</v>
      </c>
      <c r="C49" s="23">
        <v>107.55950000000001</v>
      </c>
      <c r="D49" s="23">
        <v>107.25950000000002</v>
      </c>
      <c r="E49" s="240"/>
      <c r="F49" s="625" t="s">
        <v>93</v>
      </c>
      <c r="G49" s="626"/>
      <c r="H49" s="25">
        <v>-3</v>
      </c>
      <c r="I49" s="25">
        <v>-3</v>
      </c>
      <c r="J49" s="25">
        <v>-3</v>
      </c>
      <c r="K49" s="25">
        <v>-3</v>
      </c>
      <c r="L49" s="25" t="e">
        <v>#N/A</v>
      </c>
      <c r="M49" s="25" t="e">
        <v>#N/A</v>
      </c>
      <c r="N49" s="25" t="e">
        <v>#N/A</v>
      </c>
      <c r="O49" s="25" t="e">
        <v>#N/A</v>
      </c>
      <c r="P49" s="26" t="e">
        <v>#N/A</v>
      </c>
      <c r="Q49" s="240"/>
      <c r="R49" s="240"/>
      <c r="S49" s="810"/>
      <c r="T49" s="811"/>
      <c r="U49" s="811"/>
      <c r="V49" s="811"/>
      <c r="W49" s="240"/>
    </row>
    <row r="50" spans="1:23" x14ac:dyDescent="0.25">
      <c r="A50" s="239"/>
      <c r="B50" s="222">
        <v>10.75</v>
      </c>
      <c r="C50" s="23">
        <v>107.68450000000001</v>
      </c>
      <c r="D50" s="23">
        <v>107.38450000000002</v>
      </c>
      <c r="E50" s="240"/>
      <c r="F50" s="800" t="s">
        <v>95</v>
      </c>
      <c r="G50" s="801"/>
      <c r="H50" s="801"/>
      <c r="I50" s="801"/>
      <c r="J50" s="801"/>
      <c r="K50" s="801"/>
      <c r="L50" s="801"/>
      <c r="M50" s="801"/>
      <c r="N50" s="801"/>
      <c r="O50" s="801"/>
      <c r="P50" s="802"/>
      <c r="Q50" s="240"/>
      <c r="R50" s="240"/>
      <c r="S50" s="812"/>
      <c r="T50" s="813"/>
      <c r="U50" s="813"/>
      <c r="V50" s="813"/>
      <c r="W50" s="267"/>
    </row>
    <row r="51" spans="1:23" ht="13.5" customHeight="1" x14ac:dyDescent="0.25">
      <c r="A51" s="240"/>
      <c r="B51" s="791"/>
      <c r="C51" s="792"/>
      <c r="D51" s="792"/>
      <c r="E51" s="246"/>
      <c r="F51" s="620" t="s">
        <v>96</v>
      </c>
      <c r="G51" s="621"/>
      <c r="H51" s="25">
        <v>0</v>
      </c>
      <c r="I51" s="25">
        <v>0</v>
      </c>
      <c r="J51" s="25">
        <v>-0.125</v>
      </c>
      <c r="K51" s="25">
        <v>-0.375</v>
      </c>
      <c r="L51" s="25">
        <v>-0.375</v>
      </c>
      <c r="M51" s="25">
        <v>-0.375</v>
      </c>
      <c r="N51" s="25">
        <v>-0.375</v>
      </c>
      <c r="O51" s="25">
        <v>-0.5</v>
      </c>
      <c r="P51" s="26" t="e">
        <v>#N/A</v>
      </c>
      <c r="Q51" s="240"/>
      <c r="R51" s="246"/>
      <c r="S51" s="810" t="s">
        <v>94</v>
      </c>
      <c r="T51" s="811"/>
      <c r="U51" s="811"/>
      <c r="V51" s="811"/>
      <c r="W51" s="268"/>
    </row>
    <row r="52" spans="1:23" x14ac:dyDescent="0.25">
      <c r="A52" s="240"/>
      <c r="B52" s="793"/>
      <c r="C52" s="794"/>
      <c r="D52" s="794"/>
      <c r="E52" s="240"/>
      <c r="F52" s="620" t="s">
        <v>97</v>
      </c>
      <c r="G52" s="621"/>
      <c r="H52" s="25">
        <v>-0.25</v>
      </c>
      <c r="I52" s="25">
        <v>-0.25</v>
      </c>
      <c r="J52" s="25">
        <v>-0.25</v>
      </c>
      <c r="K52" s="25">
        <v>-0.5</v>
      </c>
      <c r="L52" s="25">
        <v>-0.5</v>
      </c>
      <c r="M52" s="25">
        <v>-0.5</v>
      </c>
      <c r="N52" s="25">
        <v>-0.5</v>
      </c>
      <c r="O52" s="25">
        <v>-0.5</v>
      </c>
      <c r="P52" s="26" t="e">
        <v>#N/A</v>
      </c>
      <c r="Q52" s="240"/>
      <c r="R52" s="240"/>
      <c r="S52" s="810"/>
      <c r="T52" s="811"/>
      <c r="U52" s="811"/>
      <c r="V52" s="811"/>
      <c r="W52" s="268"/>
    </row>
    <row r="53" spans="1:23" x14ac:dyDescent="0.25">
      <c r="A53" s="240"/>
      <c r="B53" s="795"/>
      <c r="C53" s="796"/>
      <c r="D53" s="796"/>
      <c r="E53" s="240"/>
      <c r="F53" s="620" t="s">
        <v>98</v>
      </c>
      <c r="G53" s="621"/>
      <c r="H53" s="25">
        <v>-1</v>
      </c>
      <c r="I53" s="25">
        <v>-1</v>
      </c>
      <c r="J53" s="25">
        <v>-1</v>
      </c>
      <c r="K53" s="25">
        <v>-1</v>
      </c>
      <c r="L53" s="25">
        <v>-1.25</v>
      </c>
      <c r="M53" s="25">
        <v>-1.5</v>
      </c>
      <c r="N53" s="25" t="e">
        <v>#N/A</v>
      </c>
      <c r="O53" s="25" t="e">
        <v>#N/A</v>
      </c>
      <c r="P53" s="26" t="e">
        <v>#N/A</v>
      </c>
      <c r="Q53" s="240"/>
      <c r="R53" s="240"/>
      <c r="S53" s="795"/>
      <c r="T53" s="796"/>
      <c r="U53" s="796"/>
      <c r="V53" s="814"/>
      <c r="W53" s="268"/>
    </row>
    <row r="54" spans="1:23" x14ac:dyDescent="0.25">
      <c r="A54" s="240"/>
      <c r="B54" s="795"/>
      <c r="C54" s="796"/>
      <c r="D54" s="796"/>
      <c r="E54" s="249"/>
      <c r="F54" s="620" t="s">
        <v>99</v>
      </c>
      <c r="G54" s="621"/>
      <c r="H54" s="25">
        <v>0</v>
      </c>
      <c r="I54" s="25">
        <v>0</v>
      </c>
      <c r="J54" s="25">
        <v>0</v>
      </c>
      <c r="K54" s="25">
        <v>0</v>
      </c>
      <c r="L54" s="25">
        <v>0</v>
      </c>
      <c r="M54" s="25">
        <v>0</v>
      </c>
      <c r="N54" s="25">
        <v>0</v>
      </c>
      <c r="O54" s="25">
        <v>0</v>
      </c>
      <c r="P54" s="26" t="e">
        <v>#N/A</v>
      </c>
      <c r="Q54" s="240"/>
      <c r="R54" s="240"/>
      <c r="S54" s="795"/>
      <c r="T54" s="796"/>
      <c r="U54" s="796"/>
      <c r="V54" s="814"/>
      <c r="W54" s="268"/>
    </row>
    <row r="55" spans="1:23" x14ac:dyDescent="0.25">
      <c r="A55" s="240"/>
      <c r="B55" s="226" t="s">
        <v>64</v>
      </c>
      <c r="C55" s="227" t="s">
        <v>101</v>
      </c>
      <c r="D55" s="227"/>
      <c r="E55" s="240"/>
      <c r="F55" s="620" t="s">
        <v>100</v>
      </c>
      <c r="G55" s="621"/>
      <c r="H55" s="25">
        <v>-0.125</v>
      </c>
      <c r="I55" s="25">
        <v>-0.125</v>
      </c>
      <c r="J55" s="25">
        <v>-0.25</v>
      </c>
      <c r="K55" s="25">
        <v>-0.25</v>
      </c>
      <c r="L55" s="25">
        <v>-0.25</v>
      </c>
      <c r="M55" s="25">
        <v>-0.5</v>
      </c>
      <c r="N55" s="25">
        <v>-0.625</v>
      </c>
      <c r="O55" s="25" t="e">
        <v>#N/A</v>
      </c>
      <c r="P55" s="26" t="e">
        <v>#N/A</v>
      </c>
      <c r="Q55" s="240"/>
      <c r="R55" s="240"/>
      <c r="S55" s="815" t="s">
        <v>103</v>
      </c>
      <c r="T55" s="816"/>
      <c r="U55" s="226" t="s">
        <v>104</v>
      </c>
      <c r="V55" s="227" t="s">
        <v>105</v>
      </c>
      <c r="W55" s="268"/>
    </row>
    <row r="56" spans="1:23" ht="15.75" thickBot="1" x14ac:dyDescent="0.3">
      <c r="A56" s="240"/>
      <c r="B56" s="36" t="s">
        <v>106</v>
      </c>
      <c r="C56" s="37">
        <v>-0.25</v>
      </c>
      <c r="D56" s="37"/>
      <c r="E56" s="251"/>
      <c r="F56" s="803" t="s">
        <v>58</v>
      </c>
      <c r="G56" s="804"/>
      <c r="H56" s="804"/>
      <c r="I56" s="804"/>
      <c r="J56" s="804"/>
      <c r="K56" s="804"/>
      <c r="L56" s="804"/>
      <c r="M56" s="804"/>
      <c r="N56" s="804"/>
      <c r="O56" s="804"/>
      <c r="P56" s="804"/>
      <c r="Q56" s="240"/>
      <c r="R56" s="240"/>
      <c r="S56" s="40" t="s">
        <v>108</v>
      </c>
      <c r="T56" s="41">
        <v>102</v>
      </c>
      <c r="U56" s="42" t="s">
        <v>109</v>
      </c>
      <c r="V56" s="43" t="s">
        <v>110</v>
      </c>
      <c r="W56" s="268"/>
    </row>
    <row r="57" spans="1:23" x14ac:dyDescent="0.25">
      <c r="A57" s="240"/>
      <c r="B57" s="36" t="s">
        <v>111</v>
      </c>
      <c r="C57" s="37">
        <v>-0.5</v>
      </c>
      <c r="D57" s="37"/>
      <c r="E57" s="240"/>
      <c r="F57" s="631" t="s">
        <v>102</v>
      </c>
      <c r="G57" s="632"/>
      <c r="H57" s="206">
        <v>-1</v>
      </c>
      <c r="I57" s="206">
        <v>-1</v>
      </c>
      <c r="J57" s="206">
        <v>-1</v>
      </c>
      <c r="K57" s="206">
        <v>-1</v>
      </c>
      <c r="L57" s="206">
        <v>-1</v>
      </c>
      <c r="M57" s="206">
        <v>-1</v>
      </c>
      <c r="N57" s="206">
        <v>-1</v>
      </c>
      <c r="O57" s="206">
        <v>-1</v>
      </c>
      <c r="P57" s="207" t="e">
        <v>#N/A</v>
      </c>
      <c r="Q57" s="255"/>
      <c r="R57" s="240"/>
      <c r="S57" s="40" t="s">
        <v>90</v>
      </c>
      <c r="T57" s="46">
        <v>101</v>
      </c>
      <c r="U57" s="42" t="s">
        <v>113</v>
      </c>
      <c r="V57" s="43" t="s">
        <v>114</v>
      </c>
      <c r="W57" s="268"/>
    </row>
    <row r="58" spans="1:23" x14ac:dyDescent="0.25">
      <c r="A58" s="240"/>
      <c r="B58" s="791" t="s">
        <v>115</v>
      </c>
      <c r="C58" s="792"/>
      <c r="D58" s="792"/>
      <c r="E58" s="240"/>
      <c r="F58" s="627" t="s">
        <v>107</v>
      </c>
      <c r="G58" s="628"/>
      <c r="H58" s="87">
        <v>-1.75</v>
      </c>
      <c r="I58" s="87">
        <v>-1.75</v>
      </c>
      <c r="J58" s="87">
        <v>-1.75</v>
      </c>
      <c r="K58" s="87">
        <v>-1.75</v>
      </c>
      <c r="L58" s="87">
        <v>-1.75</v>
      </c>
      <c r="M58" s="87">
        <v>-1.75</v>
      </c>
      <c r="N58" s="87">
        <v>-1.75</v>
      </c>
      <c r="O58" s="87">
        <v>-2</v>
      </c>
      <c r="P58" s="26" t="e">
        <v>#N/A</v>
      </c>
      <c r="Q58" s="255"/>
      <c r="R58" s="246"/>
      <c r="S58" s="40" t="s">
        <v>117</v>
      </c>
      <c r="T58" s="46">
        <v>101</v>
      </c>
      <c r="U58" s="42" t="s">
        <v>118</v>
      </c>
      <c r="V58" s="43" t="s">
        <v>119</v>
      </c>
      <c r="W58" s="268"/>
    </row>
    <row r="59" spans="1:23" ht="15" customHeight="1" x14ac:dyDescent="0.25">
      <c r="A59" s="240"/>
      <c r="B59" s="663" t="s">
        <v>120</v>
      </c>
      <c r="C59" s="664"/>
      <c r="D59" s="664"/>
      <c r="E59" s="240"/>
      <c r="F59" s="627" t="s">
        <v>112</v>
      </c>
      <c r="G59" s="628"/>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63"/>
      <c r="C60" s="664"/>
      <c r="D60" s="664"/>
      <c r="E60" s="240"/>
      <c r="F60" s="627" t="s">
        <v>116</v>
      </c>
      <c r="G60" s="628"/>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63"/>
      <c r="C61" s="664"/>
      <c r="D61" s="664"/>
      <c r="E61" s="240"/>
      <c r="F61" s="627" t="s">
        <v>121</v>
      </c>
      <c r="G61" s="628"/>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63"/>
      <c r="C62" s="664"/>
      <c r="D62" s="664"/>
      <c r="E62" s="240"/>
      <c r="F62" s="627" t="s">
        <v>125</v>
      </c>
      <c r="G62" s="628"/>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63"/>
      <c r="C63" s="664"/>
      <c r="D63" s="664"/>
      <c r="E63" s="240"/>
      <c r="F63" s="627" t="s">
        <v>129</v>
      </c>
      <c r="G63" s="628"/>
      <c r="H63" s="87">
        <v>0.75</v>
      </c>
      <c r="I63" s="87">
        <v>0.625</v>
      </c>
      <c r="J63" s="87">
        <v>0.625</v>
      </c>
      <c r="K63" s="87">
        <v>0.625</v>
      </c>
      <c r="L63" s="87">
        <v>0.625</v>
      </c>
      <c r="M63" s="87">
        <v>0.625</v>
      </c>
      <c r="N63" s="87">
        <v>0.625</v>
      </c>
      <c r="O63" s="87">
        <v>0.5</v>
      </c>
      <c r="P63" s="26" t="e">
        <v>#N/A</v>
      </c>
      <c r="Q63" s="265"/>
      <c r="R63" s="246"/>
      <c r="S63" s="40" t="s">
        <v>891</v>
      </c>
      <c r="T63" s="46">
        <v>102</v>
      </c>
      <c r="U63" s="52" t="s">
        <v>135</v>
      </c>
      <c r="V63" s="53">
        <v>0.25</v>
      </c>
      <c r="W63" s="268"/>
    </row>
    <row r="64" spans="1:23" x14ac:dyDescent="0.25">
      <c r="A64" s="240"/>
      <c r="B64" s="663"/>
      <c r="C64" s="664"/>
      <c r="D64" s="664"/>
      <c r="E64" s="240"/>
      <c r="F64" s="627" t="s">
        <v>131</v>
      </c>
      <c r="G64" s="628"/>
      <c r="H64" s="87">
        <v>-0.75</v>
      </c>
      <c r="I64" s="87">
        <v>-0.75</v>
      </c>
      <c r="J64" s="87">
        <v>-0.75</v>
      </c>
      <c r="K64" s="87">
        <v>-0.75</v>
      </c>
      <c r="L64" s="87">
        <v>-0.75</v>
      </c>
      <c r="M64" s="87">
        <v>-0.75</v>
      </c>
      <c r="N64" s="87">
        <v>-0.75</v>
      </c>
      <c r="O64" s="87">
        <v>-0.75</v>
      </c>
      <c r="P64" s="26" t="e">
        <v>#N/A</v>
      </c>
      <c r="Q64" s="266"/>
      <c r="R64" s="246"/>
      <c r="S64" s="40" t="s">
        <v>892</v>
      </c>
      <c r="T64" s="46">
        <v>102.5</v>
      </c>
      <c r="U64" s="52" t="s">
        <v>53</v>
      </c>
      <c r="V64" s="53">
        <v>0</v>
      </c>
      <c r="W64" s="268"/>
    </row>
    <row r="65" spans="1:34" x14ac:dyDescent="0.25">
      <c r="A65" s="240"/>
      <c r="B65" s="663"/>
      <c r="C65" s="664"/>
      <c r="D65" s="664"/>
      <c r="E65" s="240"/>
      <c r="F65" s="627" t="s">
        <v>133</v>
      </c>
      <c r="G65" s="628"/>
      <c r="H65" s="87">
        <v>0</v>
      </c>
      <c r="I65" s="87">
        <v>0</v>
      </c>
      <c r="J65" s="87">
        <v>0</v>
      </c>
      <c r="K65" s="87">
        <v>0</v>
      </c>
      <c r="L65" s="87">
        <v>0</v>
      </c>
      <c r="M65" s="87">
        <v>0</v>
      </c>
      <c r="N65" s="87">
        <v>0</v>
      </c>
      <c r="O65" s="87">
        <v>-0.25</v>
      </c>
      <c r="P65" s="26" t="e">
        <v>#N/A</v>
      </c>
      <c r="Q65" s="264"/>
      <c r="R65" s="240"/>
      <c r="S65" s="800" t="s">
        <v>134</v>
      </c>
      <c r="T65" s="807"/>
      <c r="U65" s="52" t="s">
        <v>140</v>
      </c>
      <c r="V65" s="53">
        <v>-0.5</v>
      </c>
      <c r="W65" s="268"/>
    </row>
    <row r="66" spans="1:34" ht="15.75" customHeight="1" x14ac:dyDescent="0.25">
      <c r="A66" s="240"/>
      <c r="B66" s="663"/>
      <c r="C66" s="664"/>
      <c r="D66" s="664"/>
      <c r="E66" s="240"/>
      <c r="F66" s="627" t="s">
        <v>136</v>
      </c>
      <c r="G66" s="628"/>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63"/>
      <c r="C67" s="664"/>
      <c r="D67" s="664"/>
      <c r="E67" s="240"/>
      <c r="F67" s="627" t="s">
        <v>138</v>
      </c>
      <c r="G67" s="628"/>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800" t="s">
        <v>139</v>
      </c>
      <c r="T67" s="807"/>
      <c r="U67" s="52" t="s">
        <v>144</v>
      </c>
      <c r="V67" s="53">
        <v>-0.5</v>
      </c>
      <c r="W67" s="240"/>
      <c r="Y67" s="3"/>
    </row>
    <row r="68" spans="1:34" ht="15.75" thickBot="1" x14ac:dyDescent="0.3">
      <c r="A68" s="240"/>
      <c r="B68" s="663"/>
      <c r="C68" s="664"/>
      <c r="D68" s="664"/>
      <c r="E68" s="240"/>
      <c r="F68" s="629" t="s">
        <v>141</v>
      </c>
      <c r="G68" s="630"/>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5">
      <c r="A69" s="240"/>
      <c r="B69" s="663"/>
      <c r="C69" s="664"/>
      <c r="D69" s="664"/>
      <c r="E69" s="240"/>
      <c r="F69" s="817" t="s">
        <v>143</v>
      </c>
      <c r="G69" s="818"/>
      <c r="H69" s="818"/>
      <c r="I69" s="818"/>
      <c r="J69" s="818"/>
      <c r="K69" s="818"/>
      <c r="L69" s="818"/>
      <c r="M69" s="818"/>
      <c r="N69" s="818"/>
      <c r="O69" s="818"/>
      <c r="P69" s="819"/>
      <c r="Q69" s="240"/>
      <c r="R69" s="240"/>
      <c r="S69" s="54" t="s">
        <v>122</v>
      </c>
      <c r="T69" s="55">
        <v>7.375</v>
      </c>
      <c r="U69" s="52" t="s">
        <v>150</v>
      </c>
      <c r="V69" s="53">
        <v>-0.5</v>
      </c>
      <c r="W69" s="240"/>
      <c r="X69" s="3"/>
      <c r="Y69" s="3"/>
      <c r="AD69" s="3"/>
      <c r="AE69" s="3"/>
      <c r="AF69" s="3"/>
      <c r="AG69" s="3"/>
      <c r="AH69" s="3"/>
    </row>
    <row r="70" spans="1:34" ht="15.75" customHeight="1" x14ac:dyDescent="0.25">
      <c r="A70" s="240"/>
      <c r="B70" s="663"/>
      <c r="C70" s="664"/>
      <c r="D70" s="664"/>
      <c r="E70" s="240"/>
      <c r="F70" s="627" t="s">
        <v>145</v>
      </c>
      <c r="G70" s="628"/>
      <c r="H70" s="417">
        <v>-0.25</v>
      </c>
      <c r="I70" s="417">
        <v>-0.25</v>
      </c>
      <c r="J70" s="417">
        <v>-0.5</v>
      </c>
      <c r="K70" s="417">
        <v>-0.5</v>
      </c>
      <c r="L70" s="417">
        <v>-0.5</v>
      </c>
      <c r="M70" s="417">
        <v>-0.5</v>
      </c>
      <c r="N70" s="417">
        <v>-0.5</v>
      </c>
      <c r="O70" s="417" t="e">
        <v>#N/A</v>
      </c>
      <c r="P70" s="443" t="e">
        <v>#N/A</v>
      </c>
      <c r="Q70" s="240"/>
      <c r="R70" s="240"/>
      <c r="S70" s="800" t="s">
        <v>146</v>
      </c>
      <c r="T70" s="807"/>
      <c r="U70" s="800" t="s">
        <v>163</v>
      </c>
      <c r="V70" s="801"/>
      <c r="W70" s="240"/>
      <c r="X70" s="3"/>
      <c r="Y70" s="3"/>
      <c r="AD70" s="3"/>
      <c r="AE70" s="3"/>
      <c r="AF70" s="3"/>
      <c r="AG70" s="3"/>
      <c r="AH70" s="3"/>
    </row>
    <row r="71" spans="1:34" ht="15" customHeight="1" x14ac:dyDescent="0.25">
      <c r="A71" s="240"/>
      <c r="B71" s="783" t="s">
        <v>153</v>
      </c>
      <c r="C71" s="784"/>
      <c r="D71" s="784"/>
      <c r="E71" s="240"/>
      <c r="F71" s="627" t="s">
        <v>148</v>
      </c>
      <c r="G71" s="628"/>
      <c r="H71" s="417">
        <v>-0.5</v>
      </c>
      <c r="I71" s="417">
        <v>-0.5</v>
      </c>
      <c r="J71" s="417">
        <v>-0.5</v>
      </c>
      <c r="K71" s="417">
        <v>-0.5</v>
      </c>
      <c r="L71" s="417">
        <v>-0.75</v>
      </c>
      <c r="M71" s="417">
        <v>-0.75</v>
      </c>
      <c r="N71" s="417">
        <v>-0.75</v>
      </c>
      <c r="O71" s="417">
        <v>-1</v>
      </c>
      <c r="P71" s="443" t="e">
        <v>#N/A</v>
      </c>
      <c r="Q71" s="240"/>
      <c r="R71" s="240"/>
      <c r="S71" s="641" t="s">
        <v>149</v>
      </c>
      <c r="T71" s="806"/>
      <c r="U71" s="641" t="s">
        <v>164</v>
      </c>
      <c r="V71" s="642"/>
      <c r="W71" s="240"/>
      <c r="X71" s="3"/>
      <c r="Y71" s="3"/>
      <c r="AD71" s="3"/>
      <c r="AE71" s="3"/>
      <c r="AF71" s="3"/>
      <c r="AG71" s="3"/>
      <c r="AH71" s="3"/>
    </row>
    <row r="72" spans="1:34" ht="17.25" customHeight="1" x14ac:dyDescent="0.25">
      <c r="A72" s="240"/>
      <c r="B72" s="665" t="s">
        <v>156</v>
      </c>
      <c r="C72" s="666"/>
      <c r="D72" s="666"/>
      <c r="E72" s="240"/>
      <c r="F72" s="627" t="s">
        <v>151</v>
      </c>
      <c r="G72" s="628"/>
      <c r="H72" s="417">
        <v>0</v>
      </c>
      <c r="I72" s="417">
        <v>0</v>
      </c>
      <c r="J72" s="417">
        <v>0</v>
      </c>
      <c r="K72" s="417">
        <v>0</v>
      </c>
      <c r="L72" s="417">
        <v>0</v>
      </c>
      <c r="M72" s="417">
        <v>0</v>
      </c>
      <c r="N72" s="417">
        <v>0</v>
      </c>
      <c r="O72" s="417">
        <v>-0.25</v>
      </c>
      <c r="P72" s="443">
        <v>-0.5</v>
      </c>
      <c r="Q72" s="240"/>
      <c r="R72" s="240"/>
      <c r="S72" s="641" t="s">
        <v>152</v>
      </c>
      <c r="T72" s="806"/>
      <c r="U72" s="641" t="s">
        <v>165</v>
      </c>
      <c r="V72" s="642"/>
      <c r="W72" s="240"/>
      <c r="X72" s="3"/>
      <c r="Y72" s="3"/>
      <c r="AD72" s="3"/>
      <c r="AE72" s="3"/>
      <c r="AF72" s="3"/>
      <c r="AG72" s="3"/>
      <c r="AH72" s="3"/>
    </row>
    <row r="73" spans="1:34" ht="15" customHeight="1" x14ac:dyDescent="0.25">
      <c r="A73" s="240"/>
      <c r="B73" s="783" t="s">
        <v>159</v>
      </c>
      <c r="C73" s="784"/>
      <c r="D73" s="784"/>
      <c r="E73" s="246"/>
      <c r="F73" s="627" t="s">
        <v>221</v>
      </c>
      <c r="G73" s="628"/>
      <c r="H73" s="417">
        <v>0</v>
      </c>
      <c r="I73" s="417">
        <v>0</v>
      </c>
      <c r="J73" s="417">
        <v>-0.125</v>
      </c>
      <c r="K73" s="417">
        <v>-0.25</v>
      </c>
      <c r="L73" s="417">
        <v>-0.25</v>
      </c>
      <c r="M73" s="417">
        <v>-0.25</v>
      </c>
      <c r="N73" s="417">
        <v>-0.25</v>
      </c>
      <c r="O73" s="417">
        <v>-0.5</v>
      </c>
      <c r="P73" s="443" t="e">
        <v>#N/A</v>
      </c>
      <c r="Q73" s="240"/>
      <c r="R73" s="240"/>
      <c r="S73" s="641" t="s">
        <v>155</v>
      </c>
      <c r="T73" s="806"/>
      <c r="U73" s="646" t="s">
        <v>167</v>
      </c>
      <c r="V73" s="859"/>
      <c r="W73" s="240"/>
      <c r="X73" s="3"/>
      <c r="Y73" s="3"/>
      <c r="AD73" s="3"/>
      <c r="AE73" s="3"/>
      <c r="AF73" s="3"/>
      <c r="AG73" s="3"/>
      <c r="AH73" s="3"/>
    </row>
    <row r="74" spans="1:34" ht="15" customHeight="1" x14ac:dyDescent="0.25">
      <c r="A74" s="240"/>
      <c r="B74" s="648" t="s">
        <v>664</v>
      </c>
      <c r="C74" s="648"/>
      <c r="D74" s="648"/>
      <c r="E74" s="246"/>
      <c r="F74" s="627" t="s">
        <v>228</v>
      </c>
      <c r="G74" s="628"/>
      <c r="H74" s="417">
        <v>-0.25</v>
      </c>
      <c r="I74" s="417">
        <v>-0.25</v>
      </c>
      <c r="J74" s="417">
        <v>-0.25</v>
      </c>
      <c r="K74" s="417">
        <v>-0.375</v>
      </c>
      <c r="L74" s="417">
        <v>-0.5</v>
      </c>
      <c r="M74" s="417">
        <v>-0.625</v>
      </c>
      <c r="N74" s="417">
        <v>-1</v>
      </c>
      <c r="O74" s="417" t="e">
        <v>#N/A</v>
      </c>
      <c r="P74" s="443" t="e">
        <v>#N/A</v>
      </c>
      <c r="Q74" s="240"/>
      <c r="R74" s="240"/>
      <c r="S74" s="641" t="s">
        <v>158</v>
      </c>
      <c r="T74" s="642"/>
      <c r="U74" s="236"/>
      <c r="V74" s="237"/>
      <c r="W74" s="240"/>
      <c r="X74" s="3"/>
      <c r="Y74" s="3"/>
      <c r="AD74" s="3"/>
      <c r="AE74" s="3"/>
      <c r="AF74" s="3"/>
      <c r="AG74" s="3"/>
      <c r="AH74" s="3"/>
    </row>
    <row r="75" spans="1:34" ht="15" customHeight="1" x14ac:dyDescent="0.25">
      <c r="A75" s="240"/>
      <c r="B75" s="648"/>
      <c r="C75" s="648"/>
      <c r="D75" s="648"/>
      <c r="E75" s="246"/>
      <c r="F75" s="627" t="s">
        <v>157</v>
      </c>
      <c r="G75" s="628"/>
      <c r="H75" s="417">
        <v>-2</v>
      </c>
      <c r="I75" s="417">
        <v>-2</v>
      </c>
      <c r="J75" s="417">
        <v>-2.5</v>
      </c>
      <c r="K75" s="417">
        <v>-2.5</v>
      </c>
      <c r="L75" s="417">
        <v>-2.5</v>
      </c>
      <c r="M75" s="417">
        <v>-2.5</v>
      </c>
      <c r="N75" s="417">
        <v>-2.75</v>
      </c>
      <c r="O75" s="417">
        <v>-3</v>
      </c>
      <c r="P75" s="443" t="e">
        <v>#N/A</v>
      </c>
      <c r="Q75" s="240"/>
      <c r="R75" s="240"/>
      <c r="S75" s="641" t="s">
        <v>161</v>
      </c>
      <c r="T75" s="642"/>
      <c r="U75" s="236"/>
      <c r="V75" s="237"/>
      <c r="W75" s="240"/>
      <c r="X75" s="3"/>
      <c r="Y75" s="3"/>
      <c r="AD75" s="3"/>
      <c r="AE75" s="3"/>
      <c r="AF75" s="3"/>
      <c r="AG75" s="3"/>
      <c r="AH75" s="3"/>
    </row>
    <row r="76" spans="1:34" ht="15" customHeight="1" thickBot="1" x14ac:dyDescent="0.3">
      <c r="A76" s="240"/>
      <c r="B76" s="648"/>
      <c r="C76" s="648"/>
      <c r="D76" s="648"/>
      <c r="E76" s="246"/>
      <c r="F76" s="627" t="s">
        <v>69</v>
      </c>
      <c r="G76" s="628"/>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48"/>
      <c r="C77" s="648"/>
      <c r="D77" s="648"/>
      <c r="E77" s="246"/>
      <c r="F77" s="800" t="s">
        <v>33</v>
      </c>
      <c r="G77" s="801"/>
      <c r="H77" s="801"/>
      <c r="I77" s="801"/>
      <c r="J77" s="801"/>
      <c r="K77" s="801"/>
      <c r="L77" s="801"/>
      <c r="M77" s="801"/>
      <c r="N77" s="801"/>
      <c r="O77" s="801"/>
      <c r="P77" s="802"/>
      <c r="Q77" s="240"/>
      <c r="R77" s="240"/>
      <c r="S77" s="817" t="s">
        <v>765</v>
      </c>
      <c r="T77" s="818"/>
      <c r="U77" s="818"/>
      <c r="V77" s="819"/>
      <c r="W77" s="240"/>
      <c r="X77" s="3"/>
      <c r="Y77" s="3"/>
      <c r="AD77" s="3"/>
      <c r="AE77" s="3"/>
      <c r="AF77" s="3"/>
      <c r="AG77" s="3"/>
      <c r="AH77" s="3"/>
    </row>
    <row r="78" spans="1:34" ht="15" customHeight="1" x14ac:dyDescent="0.25">
      <c r="A78" s="240"/>
      <c r="B78" s="648"/>
      <c r="C78" s="648"/>
      <c r="D78" s="648"/>
      <c r="E78" s="246"/>
      <c r="F78" s="627" t="s">
        <v>34</v>
      </c>
      <c r="G78" s="628"/>
      <c r="H78" s="25">
        <v>0</v>
      </c>
      <c r="I78" s="25">
        <v>0</v>
      </c>
      <c r="J78" s="25">
        <v>0</v>
      </c>
      <c r="K78" s="25">
        <v>0</v>
      </c>
      <c r="L78" s="25">
        <v>0</v>
      </c>
      <c r="M78" s="25">
        <v>0</v>
      </c>
      <c r="N78" s="25">
        <v>0</v>
      </c>
      <c r="O78" s="25">
        <v>0</v>
      </c>
      <c r="P78" s="26">
        <v>0</v>
      </c>
      <c r="Q78" s="240"/>
      <c r="R78" s="240"/>
      <c r="S78" s="780" t="str">
        <f>'Feed(WS)'!$U$161</f>
        <v>Tier 1 States</v>
      </c>
      <c r="T78" s="679" t="str">
        <f>'Feed(WS)'!$V$161</f>
        <v>AZ, CA, CO, CT, GA, HI, MA, MD, NJ, NV, OR, SC, UT, VA, WA</v>
      </c>
      <c r="U78" s="681"/>
      <c r="V78" s="685">
        <f>'Feed(WS)'!$W$161</f>
        <v>0</v>
      </c>
      <c r="W78" s="240"/>
      <c r="X78" s="3"/>
      <c r="Y78" s="3"/>
      <c r="AD78" s="3"/>
      <c r="AE78" s="3"/>
      <c r="AF78" s="3"/>
      <c r="AG78" s="3"/>
      <c r="AH78" s="3"/>
    </row>
    <row r="79" spans="1:34" ht="15" customHeight="1" x14ac:dyDescent="0.25">
      <c r="A79" s="240"/>
      <c r="B79" s="648"/>
      <c r="C79" s="648"/>
      <c r="D79" s="648"/>
      <c r="E79" s="246"/>
      <c r="F79" s="627" t="s">
        <v>166</v>
      </c>
      <c r="G79" s="628"/>
      <c r="H79" s="25">
        <v>-1.25</v>
      </c>
      <c r="I79" s="25">
        <v>-1.25</v>
      </c>
      <c r="J79" s="25">
        <v>-1.25</v>
      </c>
      <c r="K79" s="25">
        <v>-1.25</v>
      </c>
      <c r="L79" s="25">
        <v>-1.25</v>
      </c>
      <c r="M79" s="25">
        <v>-1.25</v>
      </c>
      <c r="N79" s="25">
        <v>-1.5</v>
      </c>
      <c r="O79" s="25">
        <v>-2</v>
      </c>
      <c r="P79" s="26" t="e">
        <v>#N/A</v>
      </c>
      <c r="Q79" s="240"/>
      <c r="R79" s="240"/>
      <c r="S79" s="782"/>
      <c r="T79" s="682"/>
      <c r="U79" s="684"/>
      <c r="V79" s="686"/>
      <c r="W79" s="240"/>
      <c r="AD79" s="3"/>
      <c r="AE79" s="3"/>
      <c r="AF79" s="3"/>
      <c r="AG79" s="3"/>
      <c r="AH79" s="3"/>
    </row>
    <row r="80" spans="1:34" ht="15" customHeight="1" x14ac:dyDescent="0.25">
      <c r="A80" s="240"/>
      <c r="B80" s="785"/>
      <c r="C80" s="786"/>
      <c r="D80" s="786"/>
      <c r="E80" s="246"/>
      <c r="F80" s="627" t="s">
        <v>168</v>
      </c>
      <c r="G80" s="628"/>
      <c r="H80" s="25">
        <v>-1.75</v>
      </c>
      <c r="I80" s="25">
        <v>-1.75</v>
      </c>
      <c r="J80" s="25">
        <v>-1.75</v>
      </c>
      <c r="K80" s="25">
        <v>-1.75</v>
      </c>
      <c r="L80" s="25">
        <v>-1.75</v>
      </c>
      <c r="M80" s="25">
        <v>-2</v>
      </c>
      <c r="N80" s="25">
        <v>-2</v>
      </c>
      <c r="O80" s="25" t="e">
        <v>#N/A</v>
      </c>
      <c r="P80" s="26" t="e">
        <v>#N/A</v>
      </c>
      <c r="Q80" s="240"/>
      <c r="R80" s="240"/>
      <c r="S80" s="780" t="str">
        <f>'Feed(WS)'!$U$162</f>
        <v>Tier 2 States</v>
      </c>
      <c r="T80" s="679" t="str">
        <f>'Feed(WS)'!$V$162</f>
        <v>DC, FL, ID, IL, IN, LA, MI, MN, MO, NC, OH, OK, PA, RI, TN, TX</v>
      </c>
      <c r="U80" s="681"/>
      <c r="V80" s="685">
        <f>'Feed(WS)'!$W$162</f>
        <v>0.15</v>
      </c>
      <c r="W80" s="240"/>
    </row>
    <row r="81" spans="1:23" ht="15" customHeight="1" x14ac:dyDescent="0.25">
      <c r="A81" s="240"/>
      <c r="B81" s="785"/>
      <c r="C81" s="786"/>
      <c r="D81" s="786"/>
      <c r="E81" s="246"/>
      <c r="F81" s="627" t="s">
        <v>169</v>
      </c>
      <c r="G81" s="628"/>
      <c r="H81" s="25">
        <v>-1.75</v>
      </c>
      <c r="I81" s="25">
        <v>-1.75</v>
      </c>
      <c r="J81" s="25">
        <v>-1.75</v>
      </c>
      <c r="K81" s="25">
        <v>-1.75</v>
      </c>
      <c r="L81" s="25">
        <v>-1.75</v>
      </c>
      <c r="M81" s="25">
        <v>-2</v>
      </c>
      <c r="N81" s="25">
        <v>-2</v>
      </c>
      <c r="O81" s="25" t="e">
        <v>#N/A</v>
      </c>
      <c r="P81" s="26" t="e">
        <v>#N/A</v>
      </c>
      <c r="Q81" s="240"/>
      <c r="R81" s="240"/>
      <c r="S81" s="782"/>
      <c r="T81" s="682"/>
      <c r="U81" s="684"/>
      <c r="V81" s="686"/>
      <c r="W81" s="240"/>
    </row>
    <row r="82" spans="1:23" ht="15" customHeight="1" x14ac:dyDescent="0.25">
      <c r="A82" s="240"/>
      <c r="B82" s="785"/>
      <c r="C82" s="786"/>
      <c r="D82" s="786"/>
      <c r="E82" s="246"/>
      <c r="F82" s="627" t="s">
        <v>170</v>
      </c>
      <c r="G82" s="628"/>
      <c r="H82" s="25">
        <v>0</v>
      </c>
      <c r="I82" s="25">
        <v>0</v>
      </c>
      <c r="J82" s="25">
        <v>0</v>
      </c>
      <c r="K82" s="25">
        <v>0</v>
      </c>
      <c r="L82" s="25">
        <v>0</v>
      </c>
      <c r="M82" s="25">
        <v>0</v>
      </c>
      <c r="N82" s="25">
        <v>0</v>
      </c>
      <c r="O82" s="25">
        <v>0</v>
      </c>
      <c r="P82" s="26">
        <v>0</v>
      </c>
      <c r="Q82" s="240"/>
      <c r="R82" s="240"/>
      <c r="S82" s="780" t="str">
        <f>'Feed(WS)'!$U$163</f>
        <v>Tier 3 States</v>
      </c>
      <c r="T82" s="679" t="str">
        <f>'Feed(WS)'!$V$163</f>
        <v>AK, AL, AR, DE, IA, KS, KY, ME, MS, MT, ND, NE, NH, NM, SD, VT WI, WV, WY</v>
      </c>
      <c r="U82" s="681"/>
      <c r="V82" s="685">
        <f>'Feed(WS)'!$W$163</f>
        <v>0.25</v>
      </c>
      <c r="W82" s="240"/>
    </row>
    <row r="83" spans="1:23" ht="15" customHeight="1" thickBot="1" x14ac:dyDescent="0.3">
      <c r="A83" s="240"/>
      <c r="B83" s="785"/>
      <c r="C83" s="786"/>
      <c r="D83" s="786"/>
      <c r="E83" s="246"/>
      <c r="F83" s="803" t="s">
        <v>36</v>
      </c>
      <c r="G83" s="804"/>
      <c r="H83" s="804"/>
      <c r="I83" s="804"/>
      <c r="J83" s="804"/>
      <c r="K83" s="804"/>
      <c r="L83" s="804"/>
      <c r="M83" s="804"/>
      <c r="N83" s="804"/>
      <c r="O83" s="804"/>
      <c r="P83" s="805"/>
      <c r="Q83" s="240"/>
      <c r="R83" s="240"/>
      <c r="S83" s="781"/>
      <c r="T83" s="778"/>
      <c r="U83" s="779"/>
      <c r="V83" s="777"/>
      <c r="W83" s="240"/>
    </row>
    <row r="84" spans="1:23" ht="15" customHeight="1" x14ac:dyDescent="0.25">
      <c r="A84" s="240"/>
      <c r="B84" s="785"/>
      <c r="C84" s="786"/>
      <c r="D84" s="786"/>
      <c r="E84" s="246"/>
      <c r="F84" s="655" t="s">
        <v>171</v>
      </c>
      <c r="G84" s="656"/>
      <c r="H84" s="209">
        <v>-1.5</v>
      </c>
      <c r="I84" s="209">
        <v>-1.5</v>
      </c>
      <c r="J84" s="209">
        <v>-2</v>
      </c>
      <c r="K84" s="209">
        <v>-2</v>
      </c>
      <c r="L84" s="209">
        <v>-2</v>
      </c>
      <c r="M84" s="209">
        <v>-2</v>
      </c>
      <c r="N84" s="209" t="e">
        <v>#N/A</v>
      </c>
      <c r="O84" s="209" t="e">
        <v>#N/A</v>
      </c>
      <c r="P84" s="207" t="e">
        <v>#N/A</v>
      </c>
      <c r="Q84" s="240"/>
      <c r="R84" s="240"/>
      <c r="S84" s="614"/>
      <c r="T84" s="236"/>
      <c r="U84" s="236"/>
      <c r="V84" s="237"/>
      <c r="W84" s="240"/>
    </row>
    <row r="85" spans="1:23" ht="15" customHeight="1" x14ac:dyDescent="0.25">
      <c r="A85" s="240"/>
      <c r="B85" s="785"/>
      <c r="C85" s="786"/>
      <c r="D85" s="786"/>
      <c r="E85" s="246"/>
      <c r="F85" s="653" t="s">
        <v>172</v>
      </c>
      <c r="G85" s="654"/>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785"/>
      <c r="C86" s="786"/>
      <c r="D86" s="786"/>
      <c r="E86" s="246"/>
      <c r="F86" s="653" t="s">
        <v>173</v>
      </c>
      <c r="G86" s="654"/>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785"/>
      <c r="C87" s="786"/>
      <c r="D87" s="786"/>
      <c r="E87" s="246"/>
      <c r="F87" s="657" t="s">
        <v>174</v>
      </c>
      <c r="G87" s="658"/>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785"/>
      <c r="C88" s="786"/>
      <c r="D88" s="786"/>
      <c r="E88" s="246"/>
      <c r="F88" s="797"/>
      <c r="G88" s="798"/>
      <c r="H88" s="798"/>
      <c r="I88" s="798"/>
      <c r="J88" s="798"/>
      <c r="K88" s="798"/>
      <c r="L88" s="798"/>
      <c r="M88" s="798"/>
      <c r="N88" s="798"/>
      <c r="O88" s="798"/>
      <c r="P88" s="799"/>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JHNzTBAXQ2HzJWcGXQQjaC2jNAuk2P88TBBQZyPEA7n/GbIIU5rxQdQ/gZuP/ibI8uDJVI5n28yjik/JsouZfQ==" saltValue="Bs0njogrK1Z2RC1aZ/R5yQ==" spinCount="100000" sheet="1" objects="1" scenarios="1"/>
  <dataConsolidate/>
  <mergeCells count="173">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45:G45"/>
    <mergeCell ref="F46:G46"/>
    <mergeCell ref="S41:V41"/>
    <mergeCell ref="S42:V42"/>
    <mergeCell ref="S43:T43"/>
    <mergeCell ref="F40:G40"/>
    <mergeCell ref="F39:G39"/>
    <mergeCell ref="S39:U39"/>
    <mergeCell ref="S45:T45"/>
    <mergeCell ref="S46:T46"/>
    <mergeCell ref="U46:V46"/>
    <mergeCell ref="F34:G34"/>
    <mergeCell ref="S34:T34"/>
    <mergeCell ref="F35:G35"/>
    <mergeCell ref="S35:T35"/>
    <mergeCell ref="F36:G36"/>
    <mergeCell ref="S36:U36"/>
    <mergeCell ref="F38:P38"/>
    <mergeCell ref="U43:V43"/>
    <mergeCell ref="S44:T44"/>
    <mergeCell ref="F42:G42"/>
    <mergeCell ref="F43:G43"/>
    <mergeCell ref="F44:G44"/>
    <mergeCell ref="S51:V52"/>
    <mergeCell ref="S48:V50"/>
    <mergeCell ref="S71:T71"/>
    <mergeCell ref="F65:G65"/>
    <mergeCell ref="F66:G66"/>
    <mergeCell ref="F67:G67"/>
    <mergeCell ref="F70:G70"/>
    <mergeCell ref="S53:V53"/>
    <mergeCell ref="S54:V54"/>
    <mergeCell ref="S65:T65"/>
    <mergeCell ref="S55:T55"/>
    <mergeCell ref="F69:P69"/>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F72:G72"/>
    <mergeCell ref="F84:G84"/>
    <mergeCell ref="F85:G85"/>
    <mergeCell ref="F86:G86"/>
    <mergeCell ref="F87:G87"/>
    <mergeCell ref="S72:T72"/>
    <mergeCell ref="S73:T73"/>
    <mergeCell ref="S70:T70"/>
    <mergeCell ref="S74:T74"/>
    <mergeCell ref="S75:T75"/>
    <mergeCell ref="F88:P88"/>
    <mergeCell ref="F74:G74"/>
    <mergeCell ref="F75:G75"/>
    <mergeCell ref="F76:G76"/>
    <mergeCell ref="F77:P77"/>
    <mergeCell ref="F78:G78"/>
    <mergeCell ref="F79:G79"/>
    <mergeCell ref="F80:G80"/>
    <mergeCell ref="F81:G81"/>
    <mergeCell ref="F82:G82"/>
    <mergeCell ref="F83:P8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50">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0.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73" t="s">
        <v>645</v>
      </c>
      <c r="M1" s="673"/>
      <c r="N1" s="673"/>
      <c r="O1" s="673"/>
      <c r="P1" s="78"/>
      <c r="Q1" s="78"/>
      <c r="R1" s="78"/>
      <c r="S1" s="3"/>
      <c r="T1" s="3"/>
      <c r="U1" s="3"/>
    </row>
    <row r="2" spans="1:22" ht="17.45" customHeight="1" x14ac:dyDescent="0.3">
      <c r="B2" s="775" t="s">
        <v>929</v>
      </c>
      <c r="C2" s="776"/>
      <c r="D2" s="776"/>
      <c r="I2" s="79"/>
      <c r="J2" s="79"/>
      <c r="K2" s="79"/>
      <c r="L2" s="674" t="s">
        <v>1</v>
      </c>
      <c r="M2" s="674"/>
      <c r="N2" s="674"/>
      <c r="O2" s="674"/>
      <c r="P2" s="79"/>
      <c r="Q2" s="78"/>
      <c r="R2" s="78"/>
      <c r="S2" s="3"/>
      <c r="T2" s="3"/>
      <c r="U2" s="3"/>
      <c r="V2" s="80"/>
    </row>
    <row r="3" spans="1:22" ht="17.45" customHeight="1" x14ac:dyDescent="0.25">
      <c r="B3" s="490" t="s">
        <v>823</v>
      </c>
      <c r="C3" s="661" t="s">
        <v>895</v>
      </c>
      <c r="D3" s="662"/>
      <c r="I3" s="79"/>
      <c r="J3" s="79"/>
      <c r="K3" s="79"/>
      <c r="L3" s="674" t="s">
        <v>2</v>
      </c>
      <c r="M3" s="674"/>
      <c r="N3" s="674"/>
      <c r="O3" s="674"/>
      <c r="P3" s="79"/>
      <c r="Q3" s="79"/>
      <c r="R3" s="79"/>
      <c r="V3" s="81"/>
    </row>
    <row r="4" spans="1:22" ht="17.45" customHeight="1" x14ac:dyDescent="0.25">
      <c r="B4"/>
      <c r="C4"/>
      <c r="D4"/>
      <c r="H4" s="9"/>
      <c r="I4" s="9"/>
      <c r="J4" s="9"/>
      <c r="K4" s="82"/>
      <c r="L4" s="83"/>
      <c r="M4" s="83"/>
      <c r="N4" s="638"/>
      <c r="O4" s="638"/>
      <c r="R4" s="3"/>
      <c r="S4" s="3"/>
    </row>
    <row r="5" spans="1:22" ht="17.45" customHeight="1" thickBot="1" x14ac:dyDescent="0.3">
      <c r="B5" s="494"/>
      <c r="C5" s="494"/>
      <c r="H5" s="9"/>
      <c r="I5" s="9"/>
      <c r="J5" s="9"/>
      <c r="K5" s="10"/>
      <c r="L5" s="638" t="s">
        <v>3</v>
      </c>
      <c r="M5" s="638"/>
      <c r="N5" s="638">
        <v>46192</v>
      </c>
      <c r="O5" s="638"/>
      <c r="Q5" s="473"/>
      <c r="R5" s="3"/>
      <c r="S5" s="3"/>
    </row>
    <row r="6" spans="1:22" ht="17.45" customHeight="1" x14ac:dyDescent="0.25">
      <c r="A6" s="12"/>
      <c r="B6" s="861" t="s">
        <v>4</v>
      </c>
      <c r="C6" s="862"/>
      <c r="D6" s="863"/>
      <c r="E6" s="402"/>
      <c r="F6" s="861" t="s">
        <v>653</v>
      </c>
      <c r="G6" s="862"/>
      <c r="H6" s="862"/>
      <c r="I6" s="862"/>
      <c r="J6" s="862"/>
      <c r="K6" s="862"/>
      <c r="L6" s="862"/>
      <c r="M6" s="862"/>
      <c r="N6" s="862"/>
      <c r="O6" s="863"/>
      <c r="P6" s="401"/>
      <c r="Q6" s="843" t="s">
        <v>5</v>
      </c>
      <c r="R6" s="844"/>
      <c r="S6" s="844"/>
      <c r="T6" s="845"/>
      <c r="U6" s="12"/>
    </row>
    <row r="7" spans="1:22" ht="17.45" customHeight="1" thickBot="1" x14ac:dyDescent="0.3">
      <c r="A7" s="12"/>
      <c r="B7" s="864"/>
      <c r="C7" s="865"/>
      <c r="D7" s="866"/>
      <c r="E7" s="403"/>
      <c r="F7" s="864"/>
      <c r="G7" s="865"/>
      <c r="H7" s="865"/>
      <c r="I7" s="865"/>
      <c r="J7" s="865"/>
      <c r="K7" s="865"/>
      <c r="L7" s="865"/>
      <c r="M7" s="865"/>
      <c r="N7" s="865"/>
      <c r="O7" s="866"/>
      <c r="P7" s="401"/>
      <c r="Q7" s="849"/>
      <c r="R7" s="850"/>
      <c r="S7" s="850"/>
      <c r="T7" s="851"/>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789" t="s">
        <v>6</v>
      </c>
      <c r="C9" s="790"/>
      <c r="D9" s="867"/>
      <c r="E9" s="405"/>
      <c r="F9" s="852" t="s">
        <v>7</v>
      </c>
      <c r="G9" s="853"/>
      <c r="H9" s="853"/>
      <c r="I9" s="853"/>
      <c r="J9" s="853"/>
      <c r="K9" s="853"/>
      <c r="L9" s="853"/>
      <c r="M9" s="853"/>
      <c r="N9" s="853"/>
      <c r="O9" s="854"/>
      <c r="P9" s="401"/>
      <c r="Q9" s="215"/>
      <c r="R9" s="216"/>
      <c r="S9" s="217" t="s">
        <v>8</v>
      </c>
      <c r="T9" s="218"/>
      <c r="U9" s="12"/>
    </row>
    <row r="10" spans="1:22" ht="15" customHeight="1" x14ac:dyDescent="0.25">
      <c r="A10" s="12"/>
      <c r="B10" s="276" t="s">
        <v>9</v>
      </c>
      <c r="C10" s="277" t="s">
        <v>176</v>
      </c>
      <c r="D10" s="278" t="s">
        <v>177</v>
      </c>
      <c r="E10" s="15"/>
      <c r="F10" s="868" t="s">
        <v>11</v>
      </c>
      <c r="G10" s="869"/>
      <c r="H10" s="277" t="s">
        <v>12</v>
      </c>
      <c r="I10" s="277" t="s">
        <v>13</v>
      </c>
      <c r="J10" s="277" t="s">
        <v>14</v>
      </c>
      <c r="K10" s="277" t="s">
        <v>15</v>
      </c>
      <c r="L10" s="277" t="s">
        <v>16</v>
      </c>
      <c r="M10" s="277" t="s">
        <v>17</v>
      </c>
      <c r="N10" s="277" t="s">
        <v>18</v>
      </c>
      <c r="O10" s="278" t="s">
        <v>19</v>
      </c>
      <c r="P10" s="12"/>
      <c r="Q10" s="870" t="s">
        <v>21</v>
      </c>
      <c r="R10" s="871"/>
      <c r="S10" s="84">
        <v>0</v>
      </c>
      <c r="T10" s="316"/>
      <c r="U10" s="12"/>
    </row>
    <row r="11" spans="1:22" ht="14.25" customHeight="1" x14ac:dyDescent="0.25">
      <c r="A11" s="12"/>
      <c r="B11" s="223">
        <v>5.875</v>
      </c>
      <c r="C11" s="431">
        <v>96.888000000000062</v>
      </c>
      <c r="D11" s="309" t="e">
        <v>#N/A</v>
      </c>
      <c r="E11" s="24"/>
      <c r="F11" s="835" t="s">
        <v>22</v>
      </c>
      <c r="G11" s="836">
        <v>0</v>
      </c>
      <c r="H11" s="17">
        <v>1.375</v>
      </c>
      <c r="I11" s="17">
        <v>1.1499999999999999</v>
      </c>
      <c r="J11" s="17">
        <v>1.0249999999999999</v>
      </c>
      <c r="K11" s="17">
        <v>1</v>
      </c>
      <c r="L11" s="17">
        <v>0.75</v>
      </c>
      <c r="M11" s="17">
        <v>0.55000000000000004</v>
      </c>
      <c r="N11" s="17">
        <v>-0.625</v>
      </c>
      <c r="O11" s="18">
        <v>-2.5</v>
      </c>
      <c r="P11" s="12"/>
      <c r="Q11" s="820" t="s">
        <v>23</v>
      </c>
      <c r="R11" s="821"/>
      <c r="S11" s="19" t="s">
        <v>31</v>
      </c>
      <c r="T11" s="304"/>
      <c r="U11" s="12"/>
    </row>
    <row r="12" spans="1:22" ht="15" customHeight="1" x14ac:dyDescent="0.25">
      <c r="A12" s="12"/>
      <c r="B12" s="223">
        <v>5.9989999999999997</v>
      </c>
      <c r="C12" s="418">
        <v>97.638000000000062</v>
      </c>
      <c r="D12" s="309" t="e">
        <v>#N/A</v>
      </c>
      <c r="E12" s="24"/>
      <c r="F12" s="835" t="s">
        <v>24</v>
      </c>
      <c r="G12" s="836">
        <v>0</v>
      </c>
      <c r="H12" s="21">
        <v>1.1499999999999999</v>
      </c>
      <c r="I12" s="21">
        <v>1</v>
      </c>
      <c r="J12" s="17">
        <v>1</v>
      </c>
      <c r="K12" s="21">
        <v>0.85</v>
      </c>
      <c r="L12" s="21">
        <v>0.5</v>
      </c>
      <c r="M12" s="17">
        <v>0.42499999999999999</v>
      </c>
      <c r="N12" s="17">
        <v>-0.875</v>
      </c>
      <c r="O12" s="18">
        <v>-2.75</v>
      </c>
      <c r="P12" s="12"/>
      <c r="Q12" s="820" t="s">
        <v>25</v>
      </c>
      <c r="R12" s="821"/>
      <c r="S12" s="19" t="s">
        <v>31</v>
      </c>
      <c r="T12" s="317" t="b">
        <f>IF(ISNUMBER(MATCH($S$11,'Feed(DSCR)'!$B$3:$B$11,0)),
   INDEX($H$11:$O$19,MATCH($S$12,$F$11:$F$19,0),MATCH($S$11,$H$10:$O$10,0)))</f>
        <v>0</v>
      </c>
      <c r="U12" s="12"/>
    </row>
    <row r="13" spans="1:22" ht="15.75" customHeight="1" x14ac:dyDescent="0.25">
      <c r="A13" s="12"/>
      <c r="B13" s="223">
        <v>6.125</v>
      </c>
      <c r="C13" s="342">
        <v>98.26250000000006</v>
      </c>
      <c r="D13" s="309" t="e">
        <v>#N/A</v>
      </c>
      <c r="E13" s="24"/>
      <c r="F13" s="835" t="s">
        <v>26</v>
      </c>
      <c r="G13" s="836">
        <v>0</v>
      </c>
      <c r="H13" s="21">
        <v>1</v>
      </c>
      <c r="I13" s="21">
        <v>0.875</v>
      </c>
      <c r="J13" s="17">
        <v>0.875</v>
      </c>
      <c r="K13" s="21">
        <v>0.71299999999999997</v>
      </c>
      <c r="L13" s="21">
        <v>0.4</v>
      </c>
      <c r="M13" s="17">
        <v>0.21299999999999999</v>
      </c>
      <c r="N13" s="17">
        <v>-1</v>
      </c>
      <c r="O13" s="18">
        <v>-3</v>
      </c>
      <c r="P13" s="12"/>
      <c r="Q13" s="820" t="s">
        <v>27</v>
      </c>
      <c r="R13" s="821"/>
      <c r="S13" s="19" t="s">
        <v>181</v>
      </c>
      <c r="T13" s="317" t="e">
        <f>IF(OR($S$11="", $S$13=""), "",
   INDEX($H$23:$O$28,
         MATCH($S$13,$F$23:$F$28,0),
         MATCH($S$11,$H$10:$O$10,0)))</f>
        <v>#N/A</v>
      </c>
      <c r="U13" s="12"/>
    </row>
    <row r="14" spans="1:22" ht="15.75" customHeight="1" x14ac:dyDescent="0.25">
      <c r="A14" s="12"/>
      <c r="B14" s="223">
        <v>6.25</v>
      </c>
      <c r="C14" s="21">
        <v>98.70000000000006</v>
      </c>
      <c r="D14" s="309" t="e">
        <v>#N/A</v>
      </c>
      <c r="E14" s="24"/>
      <c r="F14" s="835" t="s">
        <v>29</v>
      </c>
      <c r="G14" s="836">
        <v>0</v>
      </c>
      <c r="H14" s="21">
        <v>0.875</v>
      </c>
      <c r="I14" s="21">
        <v>0.75</v>
      </c>
      <c r="J14" s="17">
        <v>0.75</v>
      </c>
      <c r="K14" s="21">
        <v>0.65</v>
      </c>
      <c r="L14" s="21">
        <v>2.5000000000000001E-2</v>
      </c>
      <c r="M14" s="17">
        <v>-0.1</v>
      </c>
      <c r="N14" s="17">
        <v>-1.875</v>
      </c>
      <c r="O14" s="18">
        <v>-3.5</v>
      </c>
      <c r="P14" s="12"/>
      <c r="Q14" s="820" t="s">
        <v>30</v>
      </c>
      <c r="R14" s="821"/>
      <c r="S14" s="19" t="s">
        <v>31</v>
      </c>
      <c r="T14" s="317">
        <f>'Feed(DSCR)'!$O$180</f>
        <v>0</v>
      </c>
      <c r="U14" s="12"/>
      <c r="V14" s="20"/>
    </row>
    <row r="15" spans="1:22" ht="15" customHeight="1" x14ac:dyDescent="0.25">
      <c r="A15" s="12"/>
      <c r="B15" s="223">
        <v>6.375</v>
      </c>
      <c r="C15" s="21">
        <v>99.075500000000062</v>
      </c>
      <c r="D15" s="309" t="e">
        <v>#N/A</v>
      </c>
      <c r="E15" s="24"/>
      <c r="F15" s="835" t="s">
        <v>32</v>
      </c>
      <c r="G15" s="836">
        <v>0</v>
      </c>
      <c r="H15" s="21">
        <v>0.65</v>
      </c>
      <c r="I15" s="21">
        <v>0.375</v>
      </c>
      <c r="J15" s="17">
        <v>0.125</v>
      </c>
      <c r="K15" s="21">
        <v>2.5000000000000001E-2</v>
      </c>
      <c r="L15" s="21">
        <v>-0.25</v>
      </c>
      <c r="M15" s="17">
        <v>-1</v>
      </c>
      <c r="N15" s="17">
        <v>-2.625</v>
      </c>
      <c r="O15" s="224" t="e">
        <v>#N/A</v>
      </c>
      <c r="P15" s="12"/>
      <c r="Q15" s="820" t="s">
        <v>33</v>
      </c>
      <c r="R15" s="821"/>
      <c r="S15" s="19" t="s">
        <v>31</v>
      </c>
      <c r="T15" s="317" t="e">
        <f>IF(OR($S$11="", $S$15=""), "",
   INDEX($H$71:$O$75,
         MATCH($S$15,$F$71:$F$75,0),
         MATCH($S$11,$H$10:$O$10,0)))</f>
        <v>#N/A</v>
      </c>
      <c r="U15" s="12"/>
      <c r="V15" s="20"/>
    </row>
    <row r="16" spans="1:22" ht="14.25" customHeight="1" x14ac:dyDescent="0.25">
      <c r="A16" s="12"/>
      <c r="B16" s="223">
        <v>6.4989999999999997</v>
      </c>
      <c r="C16" s="21">
        <v>99.575500000000062</v>
      </c>
      <c r="D16" s="309" t="e">
        <v>#N/A</v>
      </c>
      <c r="E16" s="24"/>
      <c r="F16" s="835" t="s">
        <v>35</v>
      </c>
      <c r="G16" s="836">
        <v>0</v>
      </c>
      <c r="H16" s="21">
        <v>0.25</v>
      </c>
      <c r="I16" s="21">
        <v>-0.125</v>
      </c>
      <c r="J16" s="17">
        <v>-0.125</v>
      </c>
      <c r="K16" s="21">
        <v>-0.25</v>
      </c>
      <c r="L16" s="21">
        <v>-0.85</v>
      </c>
      <c r="M16" s="17">
        <v>-1.5</v>
      </c>
      <c r="N16" s="17">
        <v>-3.375</v>
      </c>
      <c r="O16" s="224" t="e">
        <v>#N/A</v>
      </c>
      <c r="P16" s="12"/>
      <c r="Q16" s="820" t="s">
        <v>36</v>
      </c>
      <c r="R16" s="821"/>
      <c r="S16" s="19" t="s">
        <v>37</v>
      </c>
      <c r="T16" s="317">
        <f>IF(OR($S$11="", $S$16="", $S$16="NONE"),0,
   INDEX($H$77:$O$80,
         MATCH($S$16,$F$77:$F$80,0),
         MATCH($S$11,$H$10:$O$10,0)))</f>
        <v>0</v>
      </c>
      <c r="U16" s="12"/>
      <c r="V16" s="20"/>
    </row>
    <row r="17" spans="1:26" ht="15" customHeight="1" x14ac:dyDescent="0.25">
      <c r="A17" s="12"/>
      <c r="B17" s="223">
        <v>6.625</v>
      </c>
      <c r="C17" s="21">
        <v>100.04350000000007</v>
      </c>
      <c r="D17" s="309" t="e">
        <v>#N/A</v>
      </c>
      <c r="E17" s="24"/>
      <c r="F17" s="835" t="s">
        <v>38</v>
      </c>
      <c r="G17" s="836">
        <v>0</v>
      </c>
      <c r="H17" s="21">
        <v>-0.25</v>
      </c>
      <c r="I17" s="21">
        <v>-0.25</v>
      </c>
      <c r="J17" s="17">
        <v>-0.75</v>
      </c>
      <c r="K17" s="21">
        <v>-1.25</v>
      </c>
      <c r="L17" s="21">
        <v>-1.9750000000000001</v>
      </c>
      <c r="M17" s="17">
        <v>-2.6</v>
      </c>
      <c r="N17" s="225" t="e">
        <v>#N/A</v>
      </c>
      <c r="O17" s="224" t="e">
        <v>#N/A</v>
      </c>
      <c r="P17" s="12"/>
      <c r="Q17" s="820" t="s">
        <v>39</v>
      </c>
      <c r="R17" s="821"/>
      <c r="S17" s="19" t="s">
        <v>176</v>
      </c>
      <c r="T17" s="317">
        <v>0</v>
      </c>
      <c r="U17" s="12"/>
      <c r="V17" s="20"/>
    </row>
    <row r="18" spans="1:26" ht="15" customHeight="1" x14ac:dyDescent="0.25">
      <c r="A18" s="12"/>
      <c r="B18" s="223">
        <v>6.75</v>
      </c>
      <c r="C18" s="21">
        <v>100.48150000000005</v>
      </c>
      <c r="D18" s="309" t="e">
        <v>#N/A</v>
      </c>
      <c r="E18" s="24"/>
      <c r="F18" s="835" t="s">
        <v>40</v>
      </c>
      <c r="G18" s="836">
        <v>0</v>
      </c>
      <c r="H18" s="21">
        <v>-0.89999999999999991</v>
      </c>
      <c r="I18" s="21">
        <v>-1.25</v>
      </c>
      <c r="J18" s="17">
        <v>-1.65</v>
      </c>
      <c r="K18" s="21">
        <v>-1.875</v>
      </c>
      <c r="L18" s="21">
        <v>-2.875</v>
      </c>
      <c r="M18" s="17">
        <v>-3.625</v>
      </c>
      <c r="N18" s="225" t="e">
        <v>#N/A</v>
      </c>
      <c r="O18" s="224" t="e">
        <v>#N/A</v>
      </c>
      <c r="P18" s="12"/>
      <c r="Q18" s="820" t="s">
        <v>41</v>
      </c>
      <c r="R18" s="821"/>
      <c r="S18" s="19" t="s">
        <v>31</v>
      </c>
      <c r="T18" s="317" t="e">
        <f>IF(OR($S$11="", $S$18="", $S$18="None in this Dropdown"),0,
   INDEX($H$46:$O$49,
         MATCH($S$18,$F$46:$F$49,0),
         MATCH($S$11,$H$10:$O$10,0)))</f>
        <v>#N/A</v>
      </c>
      <c r="U18" s="12"/>
      <c r="V18" s="20"/>
    </row>
    <row r="19" spans="1:26" ht="15.75" customHeight="1" x14ac:dyDescent="0.25">
      <c r="A19" s="12"/>
      <c r="B19" s="223">
        <v>6.875</v>
      </c>
      <c r="C19" s="21">
        <v>100.90350000000007</v>
      </c>
      <c r="D19" s="309" t="e">
        <v>#N/A</v>
      </c>
      <c r="E19" s="24"/>
      <c r="F19" s="835" t="s">
        <v>42</v>
      </c>
      <c r="G19" s="836">
        <v>0</v>
      </c>
      <c r="H19" s="21">
        <v>-2</v>
      </c>
      <c r="I19" s="21">
        <v>-2.25</v>
      </c>
      <c r="J19" s="17">
        <v>-2.4</v>
      </c>
      <c r="K19" s="21">
        <v>-2.875</v>
      </c>
      <c r="L19" s="21">
        <v>-3.625</v>
      </c>
      <c r="M19" s="225" t="e">
        <v>#N/A</v>
      </c>
      <c r="N19" s="225" t="e">
        <v>#N/A</v>
      </c>
      <c r="O19" s="224" t="e">
        <v>#N/A</v>
      </c>
      <c r="P19" s="12"/>
      <c r="Q19" s="820" t="s">
        <v>592</v>
      </c>
      <c r="R19" s="821"/>
      <c r="S19" s="19" t="s">
        <v>31</v>
      </c>
      <c r="T19" s="317">
        <f>'Feed(DSCR)'!$R$175</f>
        <v>0</v>
      </c>
      <c r="U19" s="12"/>
      <c r="V19" s="20"/>
    </row>
    <row r="20" spans="1:26" ht="15.75" customHeight="1" x14ac:dyDescent="0.25">
      <c r="A20" s="12"/>
      <c r="B20" s="223">
        <v>6.9989999999999997</v>
      </c>
      <c r="C20" s="21">
        <v>101.30950000000006</v>
      </c>
      <c r="D20" s="418">
        <v>96.674999999999997</v>
      </c>
      <c r="E20" s="24"/>
      <c r="F20" s="868"/>
      <c r="G20" s="869"/>
      <c r="H20" s="277"/>
      <c r="I20" s="277"/>
      <c r="J20" s="277"/>
      <c r="K20" s="277"/>
      <c r="L20" s="277"/>
      <c r="M20" s="277"/>
      <c r="N20" s="277"/>
      <c r="O20" s="278"/>
      <c r="P20" s="12"/>
      <c r="Q20" s="820" t="s">
        <v>46</v>
      </c>
      <c r="R20" s="821"/>
      <c r="S20" s="19" t="s">
        <v>31</v>
      </c>
      <c r="T20" s="317" t="e">
        <f>IF(OR($S$11="", $S$20=""), "",
   INDEX($H$36:$O$44,
         MATCH($S$20,$F$36:$F$44,0),
         MATCH($S$11,$H$10:$O$10,0)))</f>
        <v>#N/A</v>
      </c>
      <c r="U20" s="12"/>
      <c r="V20" s="20"/>
      <c r="Z20" s="85"/>
    </row>
    <row r="21" spans="1:26" ht="15.75" customHeight="1" x14ac:dyDescent="0.25">
      <c r="A21" s="12"/>
      <c r="B21" s="223">
        <v>7.125</v>
      </c>
      <c r="C21" s="21">
        <v>101.68450000000006</v>
      </c>
      <c r="D21" s="21">
        <v>97.05</v>
      </c>
      <c r="E21" s="24"/>
      <c r="F21" s="793"/>
      <c r="G21" s="794"/>
      <c r="H21" s="794"/>
      <c r="I21" s="794"/>
      <c r="J21" s="794"/>
      <c r="K21" s="794"/>
      <c r="L21" s="794"/>
      <c r="M21" s="794"/>
      <c r="N21" s="794"/>
      <c r="O21" s="872"/>
      <c r="P21" s="12"/>
      <c r="Q21" s="820" t="s">
        <v>47</v>
      </c>
      <c r="R21" s="821"/>
      <c r="S21" s="19" t="s">
        <v>31</v>
      </c>
      <c r="T21" s="317" t="e">
        <f>IF(OR($S$11="", $S$21=""), "",
   INDEX($H$30:$O$34,
         MATCH($S$21,$F$30:$F$34,0),
         MATCH($S$11,$H$10:$O$10,0)))</f>
        <v>#N/A</v>
      </c>
      <c r="U21" s="12"/>
      <c r="V21" s="20"/>
    </row>
    <row r="22" spans="1:26" x14ac:dyDescent="0.25">
      <c r="A22" s="12"/>
      <c r="B22" s="223">
        <v>7.25</v>
      </c>
      <c r="C22" s="21">
        <v>102.05950000000006</v>
      </c>
      <c r="D22" s="21">
        <v>97.55</v>
      </c>
      <c r="E22" s="24"/>
      <c r="F22" s="815" t="s">
        <v>27</v>
      </c>
      <c r="G22" s="855"/>
      <c r="H22" s="855"/>
      <c r="I22" s="855"/>
      <c r="J22" s="855"/>
      <c r="K22" s="855"/>
      <c r="L22" s="855"/>
      <c r="M22" s="855"/>
      <c r="N22" s="855"/>
      <c r="O22" s="816"/>
      <c r="P22" s="12"/>
      <c r="Q22" s="820" t="s">
        <v>178</v>
      </c>
      <c r="R22" s="821"/>
      <c r="S22" s="19" t="s">
        <v>67</v>
      </c>
      <c r="T22" s="317">
        <v>0</v>
      </c>
      <c r="U22" s="672"/>
      <c r="V22" s="20"/>
    </row>
    <row r="23" spans="1:26" x14ac:dyDescent="0.25">
      <c r="A23" s="12"/>
      <c r="B23" s="223">
        <v>7.375</v>
      </c>
      <c r="C23" s="21">
        <v>102.43450000000006</v>
      </c>
      <c r="D23" s="21">
        <v>97.924999999999997</v>
      </c>
      <c r="E23" s="24"/>
      <c r="F23" s="627" t="s">
        <v>179</v>
      </c>
      <c r="G23" s="628"/>
      <c r="H23" s="21">
        <v>0.5</v>
      </c>
      <c r="I23" s="21">
        <v>0.5</v>
      </c>
      <c r="J23" s="21">
        <v>0.5</v>
      </c>
      <c r="K23" s="21">
        <v>0.5</v>
      </c>
      <c r="L23" s="21">
        <v>0.5</v>
      </c>
      <c r="M23" s="21">
        <v>0.5</v>
      </c>
      <c r="N23" s="21" t="e">
        <v>#N/A</v>
      </c>
      <c r="O23" s="22" t="e">
        <v>#N/A</v>
      </c>
      <c r="P23" s="12"/>
      <c r="Q23" s="820" t="s">
        <v>49</v>
      </c>
      <c r="R23" s="821"/>
      <c r="S23" s="19" t="s">
        <v>238</v>
      </c>
      <c r="T23" s="317">
        <v>0</v>
      </c>
      <c r="U23" s="672"/>
      <c r="V23" s="20"/>
      <c r="Z23" s="27"/>
    </row>
    <row r="24" spans="1:26" ht="15.75" customHeight="1" x14ac:dyDescent="0.25">
      <c r="A24" s="12"/>
      <c r="B24" s="223">
        <v>7.4989999999999997</v>
      </c>
      <c r="C24" s="21">
        <v>102.77850000000007</v>
      </c>
      <c r="D24" s="21">
        <v>98.55</v>
      </c>
      <c r="E24" s="24"/>
      <c r="F24" s="627" t="s">
        <v>180</v>
      </c>
      <c r="G24" s="628"/>
      <c r="H24" s="21">
        <v>0.375</v>
      </c>
      <c r="I24" s="21">
        <v>0.375</v>
      </c>
      <c r="J24" s="21">
        <v>0.375</v>
      </c>
      <c r="K24" s="21">
        <v>0.375</v>
      </c>
      <c r="L24" s="21">
        <v>0.375</v>
      </c>
      <c r="M24" s="21">
        <v>0.375</v>
      </c>
      <c r="N24" s="21">
        <v>0.375</v>
      </c>
      <c r="O24" s="22">
        <v>0.375</v>
      </c>
      <c r="P24" s="12"/>
      <c r="Q24" s="820" t="s">
        <v>50</v>
      </c>
      <c r="R24" s="821"/>
      <c r="S24" s="19" t="s">
        <v>31</v>
      </c>
      <c r="T24" s="317">
        <f>'Feed(DSCR)'!$P$175</f>
        <v>0</v>
      </c>
      <c r="U24" s="672"/>
      <c r="V24" s="20"/>
      <c r="Z24" s="27"/>
    </row>
    <row r="25" spans="1:26" ht="15.75" customHeight="1" x14ac:dyDescent="0.25">
      <c r="A25" s="12"/>
      <c r="B25" s="223">
        <v>7.625</v>
      </c>
      <c r="C25" s="21">
        <v>103.09050000000006</v>
      </c>
      <c r="D25" s="21">
        <v>99.05</v>
      </c>
      <c r="E25" s="24"/>
      <c r="F25" s="627" t="s">
        <v>181</v>
      </c>
      <c r="G25" s="628"/>
      <c r="H25" s="21">
        <v>0</v>
      </c>
      <c r="I25" s="21">
        <v>0</v>
      </c>
      <c r="J25" s="21">
        <v>0</v>
      </c>
      <c r="K25" s="21">
        <v>0</v>
      </c>
      <c r="L25" s="21">
        <v>0</v>
      </c>
      <c r="M25" s="21">
        <v>0</v>
      </c>
      <c r="N25" s="21">
        <v>0</v>
      </c>
      <c r="O25" s="21">
        <v>0</v>
      </c>
      <c r="P25" s="12"/>
      <c r="Q25" s="820" t="s">
        <v>52</v>
      </c>
      <c r="R25" s="821"/>
      <c r="S25" s="19" t="s">
        <v>53</v>
      </c>
      <c r="T25" s="317" t="e">
        <f>'Feed(DSCR)'!$O$175</f>
        <v>#N/A</v>
      </c>
      <c r="U25" s="672"/>
      <c r="V25" s="20"/>
    </row>
    <row r="26" spans="1:26" x14ac:dyDescent="0.25">
      <c r="A26" s="12"/>
      <c r="B26" s="223">
        <v>7.75</v>
      </c>
      <c r="C26" s="21">
        <v>103.37150000000005</v>
      </c>
      <c r="D26" s="21">
        <v>99.3</v>
      </c>
      <c r="E26" s="24"/>
      <c r="F26" s="627" t="s">
        <v>182</v>
      </c>
      <c r="G26" s="628"/>
      <c r="H26" s="21">
        <v>-2</v>
      </c>
      <c r="I26" s="21">
        <v>-2</v>
      </c>
      <c r="J26" s="21">
        <v>-2</v>
      </c>
      <c r="K26" s="21">
        <v>-2</v>
      </c>
      <c r="L26" s="21">
        <v>-2</v>
      </c>
      <c r="M26" s="21">
        <v>-2</v>
      </c>
      <c r="N26" s="21" t="e">
        <v>#N/A</v>
      </c>
      <c r="O26" s="22" t="e">
        <v>#N/A</v>
      </c>
      <c r="P26" s="12"/>
      <c r="Q26" s="820" t="s">
        <v>55</v>
      </c>
      <c r="R26" s="821"/>
      <c r="S26" s="19" t="s">
        <v>31</v>
      </c>
      <c r="T26" s="317">
        <f>'Feed(DSCR)'!$Q$180</f>
        <v>0</v>
      </c>
      <c r="U26" s="672"/>
      <c r="V26" s="20"/>
    </row>
    <row r="27" spans="1:26" ht="15.75" customHeight="1" x14ac:dyDescent="0.25">
      <c r="A27" s="12"/>
      <c r="B27" s="223">
        <v>7.875</v>
      </c>
      <c r="C27" s="21">
        <v>103.65350000000007</v>
      </c>
      <c r="D27" s="21">
        <v>99.55</v>
      </c>
      <c r="E27" s="24"/>
      <c r="F27" s="627" t="s">
        <v>183</v>
      </c>
      <c r="G27" s="628"/>
      <c r="H27" s="21">
        <v>-3</v>
      </c>
      <c r="I27" s="21">
        <v>-3</v>
      </c>
      <c r="J27" s="21">
        <v>-3</v>
      </c>
      <c r="K27" s="21">
        <v>-3</v>
      </c>
      <c r="L27" s="21">
        <v>-3</v>
      </c>
      <c r="M27" s="21" t="e">
        <v>#N/A</v>
      </c>
      <c r="N27" s="21" t="e">
        <v>#N/A</v>
      </c>
      <c r="O27" s="22" t="e">
        <v>#N/A</v>
      </c>
      <c r="P27" s="12"/>
      <c r="Q27" s="820" t="s">
        <v>58</v>
      </c>
      <c r="R27" s="821"/>
      <c r="S27" s="19" t="s">
        <v>31</v>
      </c>
      <c r="T27" s="317">
        <f>IF($S$11="", "",
   IF($S$27="Choose a Selection",0,
      INDEX($H$51:$O$62,
           MATCH($S$27,$F$51:$F$62,0),
           MATCH($S$11,$H$10:$O$10,0))))</f>
        <v>0</v>
      </c>
      <c r="U27" s="672"/>
      <c r="V27" s="20"/>
      <c r="W27" s="3"/>
      <c r="X27" s="3"/>
      <c r="Y27" s="3"/>
    </row>
    <row r="28" spans="1:26" ht="15.75" customHeight="1" x14ac:dyDescent="0.25">
      <c r="A28" s="12"/>
      <c r="B28" s="223">
        <v>7.9989999999999997</v>
      </c>
      <c r="C28" s="21">
        <v>103.93450000000006</v>
      </c>
      <c r="D28" s="21">
        <v>100.05</v>
      </c>
      <c r="E28" s="24"/>
      <c r="F28" s="627" t="s">
        <v>184</v>
      </c>
      <c r="G28" s="628"/>
      <c r="H28" s="21">
        <v>-1.75</v>
      </c>
      <c r="I28" s="21">
        <v>-1.75</v>
      </c>
      <c r="J28" s="21">
        <v>-1.75</v>
      </c>
      <c r="K28" s="21">
        <v>-1.75</v>
      </c>
      <c r="L28" s="21">
        <v>-1.75</v>
      </c>
      <c r="M28" s="21">
        <v>-1.75</v>
      </c>
      <c r="N28" s="21">
        <v>-1.75</v>
      </c>
      <c r="O28" s="22" t="e">
        <v>#N/A</v>
      </c>
      <c r="P28" s="12"/>
      <c r="Q28" s="820" t="s">
        <v>60</v>
      </c>
      <c r="R28" s="821"/>
      <c r="S28" s="19"/>
      <c r="T28" s="317">
        <v>0</v>
      </c>
      <c r="U28" s="672"/>
      <c r="V28" s="20"/>
      <c r="W28" s="3"/>
      <c r="X28" s="3"/>
      <c r="Y28" s="3"/>
    </row>
    <row r="29" spans="1:26" x14ac:dyDescent="0.25">
      <c r="A29" s="12"/>
      <c r="B29" s="223">
        <v>8.125</v>
      </c>
      <c r="C29" s="21">
        <v>104.21550000000006</v>
      </c>
      <c r="D29" s="21">
        <v>100.3</v>
      </c>
      <c r="E29" s="24"/>
      <c r="F29" s="815" t="s">
        <v>47</v>
      </c>
      <c r="G29" s="855"/>
      <c r="H29" s="855"/>
      <c r="I29" s="855"/>
      <c r="J29" s="855"/>
      <c r="K29" s="855"/>
      <c r="L29" s="855"/>
      <c r="M29" s="855"/>
      <c r="N29" s="855"/>
      <c r="O29" s="816"/>
      <c r="P29" s="12"/>
      <c r="Q29" s="820" t="s">
        <v>62</v>
      </c>
      <c r="R29" s="821"/>
      <c r="S29" s="19" t="s">
        <v>31</v>
      </c>
      <c r="T29" s="317">
        <f>'Feed(DSCR)'!$O$185</f>
        <v>0</v>
      </c>
      <c r="U29" s="672"/>
      <c r="V29" s="20"/>
      <c r="W29" s="28"/>
      <c r="X29" s="28"/>
      <c r="Y29" s="28"/>
    </row>
    <row r="30" spans="1:26" x14ac:dyDescent="0.25">
      <c r="A30" s="12"/>
      <c r="B30" s="223">
        <v>8.25</v>
      </c>
      <c r="C30" s="21">
        <v>104.49650000000005</v>
      </c>
      <c r="D30" s="21">
        <v>100.55</v>
      </c>
      <c r="E30" s="24"/>
      <c r="F30" s="873" t="s">
        <v>68</v>
      </c>
      <c r="G30" s="874"/>
      <c r="H30" s="21">
        <v>0</v>
      </c>
      <c r="I30" s="21">
        <v>0</v>
      </c>
      <c r="J30" s="21">
        <v>0</v>
      </c>
      <c r="K30" s="21">
        <v>0</v>
      </c>
      <c r="L30" s="21">
        <v>0</v>
      </c>
      <c r="M30" s="21">
        <v>0</v>
      </c>
      <c r="N30" s="21">
        <v>0</v>
      </c>
      <c r="O30" s="22">
        <v>0</v>
      </c>
      <c r="P30" s="12"/>
      <c r="Q30" s="820" t="s">
        <v>64</v>
      </c>
      <c r="R30" s="821"/>
      <c r="S30" s="29" t="s">
        <v>65</v>
      </c>
      <c r="T30" s="317" t="e">
        <f>'Feed(DSCR)'!$R$180</f>
        <v>#N/A</v>
      </c>
      <c r="U30" s="672"/>
      <c r="V30" s="20"/>
    </row>
    <row r="31" spans="1:26" x14ac:dyDescent="0.25">
      <c r="A31" s="12"/>
      <c r="B31" s="223">
        <v>8.375</v>
      </c>
      <c r="C31" s="21">
        <v>104.77850000000007</v>
      </c>
      <c r="D31" s="21">
        <v>100.8</v>
      </c>
      <c r="E31" s="24"/>
      <c r="F31" s="873" t="s">
        <v>70</v>
      </c>
      <c r="G31" s="874"/>
      <c r="H31" s="21">
        <v>0</v>
      </c>
      <c r="I31" s="21">
        <v>0</v>
      </c>
      <c r="J31" s="21">
        <v>0</v>
      </c>
      <c r="K31" s="21">
        <v>0</v>
      </c>
      <c r="L31" s="21">
        <v>0</v>
      </c>
      <c r="M31" s="21">
        <v>0</v>
      </c>
      <c r="N31" s="21">
        <v>0</v>
      </c>
      <c r="O31" s="22">
        <v>0.25</v>
      </c>
      <c r="P31" s="12"/>
      <c r="Q31" s="820" t="s">
        <v>66</v>
      </c>
      <c r="R31" s="821"/>
      <c r="S31" s="29" t="s">
        <v>67</v>
      </c>
      <c r="T31" s="317" cm="1">
        <f t="array" ref="T31">IF(OR(
      AND(OR($S$31='Feed(DSCR)'!$R$4:$R$5), $S$21&lt;&gt;'Feed(DSCR)'!$J$3),
      AND(OR($S$31='Feed(DSCR)'!$R$4:$R$5), $S$25&lt;&gt;'Feed(DSCR)'!$M$4),
      AND(OR($S$31='Feed(DSCR)'!$R$4:$R$5), $S$21&lt;&gt;'Feed(DSCR)'!$L$3:$L$4),
   ),
   NA(),
   0)</f>
        <v>0</v>
      </c>
      <c r="U31" s="672"/>
      <c r="V31" s="20"/>
    </row>
    <row r="32" spans="1:26" x14ac:dyDescent="0.25">
      <c r="A32" s="12"/>
      <c r="B32" s="223">
        <v>8.4990000000000006</v>
      </c>
      <c r="C32" s="21">
        <v>105.05950000000006</v>
      </c>
      <c r="D32" s="21">
        <v>101.175</v>
      </c>
      <c r="E32" s="24"/>
      <c r="F32" s="873" t="s">
        <v>72</v>
      </c>
      <c r="G32" s="874"/>
      <c r="H32" s="21">
        <v>-0.125</v>
      </c>
      <c r="I32" s="21">
        <v>-0.25</v>
      </c>
      <c r="J32" s="21">
        <v>-0.375</v>
      </c>
      <c r="K32" s="21">
        <v>-0.5</v>
      </c>
      <c r="L32" s="21">
        <v>-0.5</v>
      </c>
      <c r="M32" s="21">
        <v>-0.5</v>
      </c>
      <c r="N32" s="21">
        <v>-1.75</v>
      </c>
      <c r="O32" s="22" t="e">
        <v>#N/A</v>
      </c>
      <c r="P32" s="12"/>
      <c r="Q32" s="820" t="s">
        <v>69</v>
      </c>
      <c r="R32" s="821"/>
      <c r="S32" s="29" t="s">
        <v>67</v>
      </c>
      <c r="T32" s="317">
        <v>0</v>
      </c>
      <c r="U32" s="672"/>
      <c r="V32" s="20"/>
    </row>
    <row r="33" spans="1:26" ht="15.75" customHeight="1" x14ac:dyDescent="0.25">
      <c r="A33" s="12"/>
      <c r="B33" s="223">
        <v>8.625</v>
      </c>
      <c r="C33" s="21">
        <v>105.30950000000006</v>
      </c>
      <c r="D33" s="21">
        <v>101.55</v>
      </c>
      <c r="E33" s="24"/>
      <c r="F33" s="873" t="s">
        <v>75</v>
      </c>
      <c r="G33" s="874"/>
      <c r="H33" s="21">
        <v>-0.25</v>
      </c>
      <c r="I33" s="21">
        <v>-0.25</v>
      </c>
      <c r="J33" s="21">
        <v>-0.25</v>
      </c>
      <c r="K33" s="21">
        <v>-0.25</v>
      </c>
      <c r="L33" s="21">
        <v>-0.25</v>
      </c>
      <c r="M33" s="21">
        <v>-0.25</v>
      </c>
      <c r="N33" s="21">
        <v>-0.375</v>
      </c>
      <c r="O33" s="22" t="e">
        <v>#N/A</v>
      </c>
      <c r="P33" s="12"/>
      <c r="Q33" s="820" t="s">
        <v>71</v>
      </c>
      <c r="R33" s="821"/>
      <c r="S33" s="30" t="str">
        <f>IF(ISNA(T33),"Yes",IF(T33=0,"No",""))</f>
        <v>No</v>
      </c>
      <c r="T33" s="317">
        <f>'Feed(DSCR)'!$B$67</f>
        <v>0</v>
      </c>
      <c r="U33" s="672"/>
      <c r="V33" s="20"/>
    </row>
    <row r="34" spans="1:26" x14ac:dyDescent="0.25">
      <c r="A34" s="12"/>
      <c r="B34" s="223">
        <v>8.75</v>
      </c>
      <c r="C34" s="21">
        <v>105.55950000000006</v>
      </c>
      <c r="D34" s="21">
        <v>101.8</v>
      </c>
      <c r="E34" s="24"/>
      <c r="F34" s="873" t="s">
        <v>76</v>
      </c>
      <c r="G34" s="874"/>
      <c r="H34" s="21">
        <v>-0.5</v>
      </c>
      <c r="I34" s="21">
        <v>-0.5</v>
      </c>
      <c r="J34" s="21">
        <v>-0.625</v>
      </c>
      <c r="K34" s="21">
        <v>-0.75</v>
      </c>
      <c r="L34" s="21">
        <v>-0.75</v>
      </c>
      <c r="M34" s="21" t="e">
        <v>#N/A</v>
      </c>
      <c r="N34" s="21" t="e">
        <v>#N/A</v>
      </c>
      <c r="O34" s="22" t="e">
        <v>#N/A</v>
      </c>
      <c r="P34" s="12"/>
      <c r="Q34" s="820" t="s">
        <v>769</v>
      </c>
      <c r="R34" s="821"/>
      <c r="S34" s="29" t="s">
        <v>767</v>
      </c>
      <c r="T34" s="317">
        <f>IF(S34="Tier 1 States",T79,IF(S34="Tier 2 States",T81,IF(S34="Tier 3 States",T83,"0.000")))</f>
        <v>0.15</v>
      </c>
      <c r="U34" s="672"/>
      <c r="V34" s="20"/>
    </row>
    <row r="35" spans="1:26" ht="15.75" customHeight="1" x14ac:dyDescent="0.25">
      <c r="A35" s="12"/>
      <c r="B35" s="223">
        <v>8.875</v>
      </c>
      <c r="C35" s="21">
        <v>105.80950000000006</v>
      </c>
      <c r="D35" s="21">
        <v>102.175</v>
      </c>
      <c r="E35" s="24"/>
      <c r="F35" s="815" t="s">
        <v>78</v>
      </c>
      <c r="G35" s="855"/>
      <c r="H35" s="855"/>
      <c r="I35" s="855"/>
      <c r="J35" s="855"/>
      <c r="K35" s="855"/>
      <c r="L35" s="855"/>
      <c r="M35" s="855"/>
      <c r="N35" s="855"/>
      <c r="O35" s="816"/>
      <c r="P35" s="12"/>
      <c r="Q35" s="820" t="str">
        <f>IF('Feed(DSCR)'!Z1=0,"",INDEX('Feed(DSCR)'!$AA$1:$AA$3,MATCH('Feed(DSCR)'!Z1,'Feed(DSCR)'!$Z$1:$Z$3,0)))</f>
        <v xml:space="preserve">Special </v>
      </c>
      <c r="R35" s="821"/>
      <c r="S35" s="30" t="str">
        <f>IF(T35=FALSE,'Feed(DSCR)'!Y4,'Feed(DSCR)'!Y5)</f>
        <v>Not Applicable</v>
      </c>
      <c r="T35" s="317" t="b">
        <f>'Feed(DSCR)'!$Z$1</f>
        <v>0</v>
      </c>
      <c r="U35" s="672"/>
      <c r="V35" s="20"/>
    </row>
    <row r="36" spans="1:26" x14ac:dyDescent="0.25">
      <c r="A36" s="12"/>
      <c r="B36" s="223">
        <v>8.9990000000000006</v>
      </c>
      <c r="C36" s="21">
        <v>106.05950000000006</v>
      </c>
      <c r="D36" s="21">
        <v>102.3</v>
      </c>
      <c r="E36" s="24"/>
      <c r="F36" s="873" t="s">
        <v>80</v>
      </c>
      <c r="G36" s="874"/>
      <c r="H36" s="21">
        <v>-0.25</v>
      </c>
      <c r="I36" s="21">
        <v>-0.5</v>
      </c>
      <c r="J36" s="21">
        <v>-0.5</v>
      </c>
      <c r="K36" s="21">
        <v>-0.5</v>
      </c>
      <c r="L36" s="21">
        <v>-0.5</v>
      </c>
      <c r="M36" s="21">
        <v>-0.75</v>
      </c>
      <c r="N36" s="21">
        <v>-0.75</v>
      </c>
      <c r="O36" s="22">
        <v>-1.5</v>
      </c>
      <c r="P36" s="12"/>
      <c r="Q36" s="822" t="s">
        <v>77</v>
      </c>
      <c r="R36" s="823"/>
      <c r="S36" s="824"/>
      <c r="T36" s="442" t="e">
        <f>SUM($T$12:$T$35)</f>
        <v>#N/A</v>
      </c>
      <c r="U36" s="672"/>
      <c r="V36" s="20"/>
    </row>
    <row r="37" spans="1:26" ht="15.75" customHeight="1" x14ac:dyDescent="0.25">
      <c r="A37" s="12"/>
      <c r="B37" s="223">
        <v>9.125</v>
      </c>
      <c r="C37" s="21">
        <v>106.30950000000006</v>
      </c>
      <c r="D37" s="21">
        <v>102.675</v>
      </c>
      <c r="E37" s="24"/>
      <c r="F37" s="873" t="s">
        <v>82</v>
      </c>
      <c r="G37" s="874"/>
      <c r="H37" s="21">
        <v>0</v>
      </c>
      <c r="I37" s="21">
        <v>0</v>
      </c>
      <c r="J37" s="21">
        <v>0</v>
      </c>
      <c r="K37" s="21">
        <v>0</v>
      </c>
      <c r="L37" s="21">
        <v>0</v>
      </c>
      <c r="M37" s="21">
        <v>0</v>
      </c>
      <c r="N37" s="21">
        <v>0</v>
      </c>
      <c r="O37" s="22">
        <v>-0.25</v>
      </c>
      <c r="P37" s="12"/>
      <c r="Q37" s="822" t="s">
        <v>79</v>
      </c>
      <c r="R37" s="823"/>
      <c r="S37" s="824"/>
      <c r="T37" s="442" t="e">
        <f>IF(
   AND($S$24='Feed(DSCR)'!$K$10, $S$17='Feed(DSCR)'!$D$3),
   INDEX($B$11:$D$50, MATCH($S$10,$B$11:$B$50,0), MATCH($S$24,$B$10:$D$10,0)),
   INDEX($B$11:$D$50, MATCH($S$10,$B$11:$B$50,0), MATCH($S$17,$B$10:$D$10,0))
)</f>
        <v>#N/A</v>
      </c>
      <c r="U37" s="672"/>
      <c r="V37" s="20"/>
      <c r="Z37" s="28"/>
    </row>
    <row r="38" spans="1:26" ht="15.75" customHeight="1" x14ac:dyDescent="0.25">
      <c r="A38" s="12"/>
      <c r="B38" s="223">
        <v>9.25</v>
      </c>
      <c r="C38" s="21">
        <v>106.43450000000006</v>
      </c>
      <c r="D38" s="21">
        <v>102.925</v>
      </c>
      <c r="E38" s="24"/>
      <c r="F38" s="873" t="s">
        <v>84</v>
      </c>
      <c r="G38" s="874"/>
      <c r="H38" s="21">
        <v>0.25</v>
      </c>
      <c r="I38" s="21">
        <v>0.25</v>
      </c>
      <c r="J38" s="21">
        <v>0.25</v>
      </c>
      <c r="K38" s="21">
        <v>0.25</v>
      </c>
      <c r="L38" s="21">
        <v>0.25</v>
      </c>
      <c r="M38" s="21">
        <v>0.25</v>
      </c>
      <c r="N38" s="21">
        <v>0.25</v>
      </c>
      <c r="O38" s="22">
        <v>0.25</v>
      </c>
      <c r="P38" s="12"/>
      <c r="Q38" s="822" t="s">
        <v>81</v>
      </c>
      <c r="R38" s="823"/>
      <c r="S38" s="824"/>
      <c r="T38" s="442" t="str">
        <f ca="1">IFERROR(IF(AND(S19='Feed(DSCR)'!$P$6,S10&lt;R70),"Minimum Rate",IF(AND($S$10&lt;&gt;'Feed(DSCR)'!$K$134,T39=R67),NA(),T37+T36+Q85)),"Minimum Rate")</f>
        <v>Minimum Rate</v>
      </c>
      <c r="U38" s="672"/>
      <c r="V38" s="20"/>
    </row>
    <row r="39" spans="1:26" ht="15.75" customHeight="1" x14ac:dyDescent="0.25">
      <c r="A39" s="12"/>
      <c r="B39" s="223">
        <v>9.375</v>
      </c>
      <c r="C39" s="21">
        <v>106.55950000000006</v>
      </c>
      <c r="D39" s="21">
        <v>103.3</v>
      </c>
      <c r="E39" s="24"/>
      <c r="F39" s="627" t="s">
        <v>86</v>
      </c>
      <c r="G39" s="628"/>
      <c r="H39" s="21">
        <v>0.375</v>
      </c>
      <c r="I39" s="21">
        <v>0.25</v>
      </c>
      <c r="J39" s="21">
        <v>0.25</v>
      </c>
      <c r="K39" s="21">
        <v>0.25</v>
      </c>
      <c r="L39" s="21">
        <v>0.25</v>
      </c>
      <c r="M39" s="21">
        <v>0</v>
      </c>
      <c r="N39" s="21">
        <v>0</v>
      </c>
      <c r="O39" s="22">
        <v>0</v>
      </c>
      <c r="P39" s="12"/>
      <c r="Q39" s="822" t="s">
        <v>83</v>
      </c>
      <c r="R39" s="823"/>
      <c r="S39" s="824"/>
      <c r="T39" s="442" t="e">
        <f>IF(OR('Feed(DSCR)'!$E$147=0, ISERROR('Feed(DSCR)'!$E$147)), NA(), 'Feed(DSCR)'!$E$147)</f>
        <v>#N/A</v>
      </c>
      <c r="U39" s="672"/>
      <c r="V39" s="20"/>
    </row>
    <row r="40" spans="1:26" ht="14.25" customHeight="1" x14ac:dyDescent="0.25">
      <c r="A40" s="12"/>
      <c r="B40" s="223">
        <v>9.4990000000000006</v>
      </c>
      <c r="C40" s="21">
        <v>106.68450000000006</v>
      </c>
      <c r="D40" s="21">
        <v>103.675</v>
      </c>
      <c r="E40" s="24"/>
      <c r="F40" s="627" t="s">
        <v>87</v>
      </c>
      <c r="G40" s="628"/>
      <c r="H40" s="21">
        <v>0</v>
      </c>
      <c r="I40" s="21">
        <v>0</v>
      </c>
      <c r="J40" s="21">
        <v>0</v>
      </c>
      <c r="K40" s="21">
        <v>0</v>
      </c>
      <c r="L40" s="21">
        <v>0</v>
      </c>
      <c r="M40" s="21">
        <v>0</v>
      </c>
      <c r="N40" s="21">
        <v>0</v>
      </c>
      <c r="O40" s="22">
        <v>0</v>
      </c>
      <c r="P40" s="12"/>
      <c r="Q40" s="829" t="s">
        <v>85</v>
      </c>
      <c r="R40" s="830"/>
      <c r="S40" s="860"/>
      <c r="T40" s="234" t="e">
        <f>IF(OR($T$36="#NA",$T$37="#NA"),NA(),IF(AND($S$10&lt;&gt;'Feed(DSCR)'!$K$134,$T$39=$R$67),NA(),IF($T$38&gt;$T$39,$T$39,$T$38)))</f>
        <v>#N/A</v>
      </c>
      <c r="U40" s="672"/>
      <c r="V40" s="20"/>
    </row>
    <row r="41" spans="1:26" ht="14.25" customHeight="1" x14ac:dyDescent="0.25">
      <c r="A41" s="12"/>
      <c r="B41" s="223">
        <v>9.625</v>
      </c>
      <c r="C41" s="21">
        <v>106.80950000000006</v>
      </c>
      <c r="D41" s="21">
        <v>103.925</v>
      </c>
      <c r="E41" s="24"/>
      <c r="F41" s="627" t="s">
        <v>89</v>
      </c>
      <c r="G41" s="628"/>
      <c r="H41" s="21">
        <v>-0.125</v>
      </c>
      <c r="I41" s="21">
        <v>-0.125</v>
      </c>
      <c r="J41" s="21">
        <v>-0.125</v>
      </c>
      <c r="K41" s="21">
        <v>-0.25</v>
      </c>
      <c r="L41" s="21">
        <v>-0.25</v>
      </c>
      <c r="M41" s="21">
        <v>-0.25</v>
      </c>
      <c r="N41" s="21">
        <v>-0.5</v>
      </c>
      <c r="O41" s="22" t="e">
        <v>#N/A</v>
      </c>
      <c r="P41" s="12"/>
      <c r="Q41" s="829" t="str" cm="1">
        <f t="array" ref="Q41">IF(OR($S$11:$S$25="Choose a Selection"),"",CONCATENATE('Feed(DSCR)'!$I$134," ",'Feed(DSCR)'!$K$134,"%"&amp;" @ "&amp;'Feed(DSCR)'!$L$134))</f>
        <v/>
      </c>
      <c r="R41" s="830"/>
      <c r="S41" s="830"/>
      <c r="T41" s="831"/>
      <c r="U41" s="672"/>
      <c r="V41" s="20"/>
    </row>
    <row r="42" spans="1:26" ht="15.75" customHeight="1" x14ac:dyDescent="0.25">
      <c r="A42" s="12"/>
      <c r="B42" s="223">
        <v>9.75</v>
      </c>
      <c r="C42" s="21">
        <v>106.93450000000006</v>
      </c>
      <c r="D42" s="21">
        <v>104.175</v>
      </c>
      <c r="E42" s="24"/>
      <c r="F42" s="627" t="s">
        <v>90</v>
      </c>
      <c r="G42" s="628"/>
      <c r="H42" s="21">
        <v>-0.375</v>
      </c>
      <c r="I42" s="21">
        <v>-0.375</v>
      </c>
      <c r="J42" s="21">
        <v>-0.5</v>
      </c>
      <c r="K42" s="21">
        <v>-0.5</v>
      </c>
      <c r="L42" s="21">
        <v>-0.5</v>
      </c>
      <c r="M42" s="21">
        <v>-0.5</v>
      </c>
      <c r="N42" s="21">
        <v>-0.75</v>
      </c>
      <c r="O42" s="22" t="e">
        <v>#N/A</v>
      </c>
      <c r="P42" s="12"/>
      <c r="Q42" s="827" t="s">
        <v>759</v>
      </c>
      <c r="R42" s="828"/>
      <c r="S42" s="828"/>
      <c r="T42" s="832"/>
      <c r="U42" s="672"/>
      <c r="V42" s="20"/>
    </row>
    <row r="43" spans="1:26" ht="14.25" customHeight="1" x14ac:dyDescent="0.25">
      <c r="A43" s="12"/>
      <c r="B43" s="223">
        <v>9.875</v>
      </c>
      <c r="C43" s="21">
        <v>107.05950000000006</v>
      </c>
      <c r="D43" s="21">
        <v>104.425</v>
      </c>
      <c r="E43" s="24"/>
      <c r="F43" s="627" t="s">
        <v>91</v>
      </c>
      <c r="G43" s="628"/>
      <c r="H43" s="21">
        <v>-1</v>
      </c>
      <c r="I43" s="21">
        <v>-1</v>
      </c>
      <c r="J43" s="21">
        <v>-1</v>
      </c>
      <c r="K43" s="21">
        <v>-1</v>
      </c>
      <c r="L43" s="21">
        <v>-1.25</v>
      </c>
      <c r="M43" s="21">
        <v>-1.5</v>
      </c>
      <c r="N43" s="21" t="e">
        <v>#N/A</v>
      </c>
      <c r="O43" s="22" t="e">
        <v>#N/A</v>
      </c>
      <c r="P43" s="12"/>
      <c r="Q43" s="827" t="s">
        <v>760</v>
      </c>
      <c r="R43" s="828"/>
      <c r="S43" s="825">
        <v>500000</v>
      </c>
      <c r="T43" s="826"/>
      <c r="U43" s="672"/>
      <c r="V43" s="20"/>
    </row>
    <row r="44" spans="1:26" ht="15.75" customHeight="1" x14ac:dyDescent="0.25">
      <c r="A44" s="12"/>
      <c r="B44" s="223">
        <v>9.9990000000000006</v>
      </c>
      <c r="C44" s="21">
        <v>107.18450000000006</v>
      </c>
      <c r="D44" s="21">
        <v>104.675</v>
      </c>
      <c r="E44" s="24"/>
      <c r="F44" s="627" t="s">
        <v>92</v>
      </c>
      <c r="G44" s="628"/>
      <c r="H44" s="21">
        <v>-2</v>
      </c>
      <c r="I44" s="21">
        <v>-2.25</v>
      </c>
      <c r="J44" s="21">
        <v>-2.5</v>
      </c>
      <c r="K44" s="21">
        <v>-3</v>
      </c>
      <c r="L44" s="21" t="e">
        <v>#N/A</v>
      </c>
      <c r="M44" s="21" t="e">
        <v>#N/A</v>
      </c>
      <c r="N44" s="21" t="e">
        <v>#N/A</v>
      </c>
      <c r="O44" s="22" t="e">
        <v>#N/A</v>
      </c>
      <c r="P44" s="12"/>
      <c r="Q44" s="827" t="s">
        <v>761</v>
      </c>
      <c r="R44" s="828"/>
      <c r="S44" s="459">
        <v>2.25</v>
      </c>
      <c r="T44" s="460">
        <f>S44/100*S43</f>
        <v>11250</v>
      </c>
      <c r="U44" s="672"/>
      <c r="V44" s="20"/>
    </row>
    <row r="45" spans="1:26" ht="14.25" customHeight="1" x14ac:dyDescent="0.25">
      <c r="A45" s="12"/>
      <c r="B45" s="223">
        <v>10.125</v>
      </c>
      <c r="C45" s="21">
        <v>107.30950000000006</v>
      </c>
      <c r="D45" s="21">
        <v>104.925</v>
      </c>
      <c r="E45" s="24"/>
      <c r="F45" s="815" t="s">
        <v>185</v>
      </c>
      <c r="G45" s="855"/>
      <c r="H45" s="855"/>
      <c r="I45" s="855"/>
      <c r="J45" s="855"/>
      <c r="K45" s="855"/>
      <c r="L45" s="855"/>
      <c r="M45" s="855"/>
      <c r="N45" s="855"/>
      <c r="O45" s="816"/>
      <c r="P45" s="12"/>
      <c r="Q45" s="827" t="s">
        <v>762</v>
      </c>
      <c r="R45" s="828"/>
      <c r="S45" s="461"/>
      <c r="T45" s="462">
        <f>S45/S43*100</f>
        <v>0</v>
      </c>
      <c r="U45" s="672"/>
      <c r="V45" s="20"/>
    </row>
    <row r="46" spans="1:26" ht="14.25" customHeight="1" x14ac:dyDescent="0.25">
      <c r="A46" s="12"/>
      <c r="B46" s="223">
        <v>10.25</v>
      </c>
      <c r="C46" s="21">
        <v>107.43450000000006</v>
      </c>
      <c r="D46" s="21">
        <v>105.175</v>
      </c>
      <c r="E46" s="24"/>
      <c r="F46" s="873" t="s">
        <v>98</v>
      </c>
      <c r="G46" s="874"/>
      <c r="H46" s="21">
        <v>-1</v>
      </c>
      <c r="I46" s="21">
        <v>-1</v>
      </c>
      <c r="J46" s="21">
        <v>-1</v>
      </c>
      <c r="K46" s="21">
        <v>-1</v>
      </c>
      <c r="L46" s="21">
        <v>-1</v>
      </c>
      <c r="M46" s="21">
        <v>-1.5</v>
      </c>
      <c r="N46" s="21" t="e">
        <v>#N/A</v>
      </c>
      <c r="O46" s="22" t="e">
        <v>#N/A</v>
      </c>
      <c r="P46" s="12"/>
      <c r="Q46" s="833" t="s">
        <v>763</v>
      </c>
      <c r="R46" s="834"/>
      <c r="S46" s="833">
        <f>S44+T45</f>
        <v>2.25</v>
      </c>
      <c r="T46" s="834"/>
      <c r="U46" s="672"/>
      <c r="V46" s="20"/>
    </row>
    <row r="47" spans="1:26" ht="14.25" customHeight="1" x14ac:dyDescent="0.25">
      <c r="A47" s="12"/>
      <c r="B47" s="223">
        <v>10.375</v>
      </c>
      <c r="C47" s="21">
        <v>107.55950000000006</v>
      </c>
      <c r="D47" s="21">
        <v>105.425</v>
      </c>
      <c r="E47" s="24"/>
      <c r="F47" s="873" t="s">
        <v>186</v>
      </c>
      <c r="G47" s="874"/>
      <c r="H47" s="21">
        <v>-0.5</v>
      </c>
      <c r="I47" s="21">
        <v>-0.5</v>
      </c>
      <c r="J47" s="21">
        <v>-0.5</v>
      </c>
      <c r="K47" s="21">
        <v>-0.5</v>
      </c>
      <c r="L47" s="21">
        <v>-0.5</v>
      </c>
      <c r="M47" s="21">
        <v>-0.625</v>
      </c>
      <c r="N47" s="21">
        <v>-0.75</v>
      </c>
      <c r="O47" s="22" t="e">
        <v>#N/A</v>
      </c>
      <c r="P47" s="12"/>
      <c r="Q47" s="643" t="s">
        <v>764</v>
      </c>
      <c r="R47" s="644"/>
      <c r="S47" s="808" t="e">
        <f>T40-S46</f>
        <v>#N/A</v>
      </c>
      <c r="T47" s="809"/>
      <c r="U47" s="672"/>
      <c r="V47" s="20"/>
    </row>
    <row r="48" spans="1:26" ht="15.75" customHeight="1" x14ac:dyDescent="0.25">
      <c r="A48" s="12"/>
      <c r="B48" s="223">
        <v>10.499000000000001</v>
      </c>
      <c r="C48" s="21">
        <v>107.68450000000006</v>
      </c>
      <c r="D48" s="21">
        <v>105.675</v>
      </c>
      <c r="E48" s="24"/>
      <c r="F48" s="873" t="s">
        <v>99</v>
      </c>
      <c r="G48" s="874"/>
      <c r="H48" s="21">
        <v>0</v>
      </c>
      <c r="I48" s="21">
        <v>0</v>
      </c>
      <c r="J48" s="21">
        <v>0</v>
      </c>
      <c r="K48" s="21">
        <v>0</v>
      </c>
      <c r="L48" s="21">
        <v>0</v>
      </c>
      <c r="M48" s="21">
        <v>0</v>
      </c>
      <c r="N48" s="21">
        <v>0</v>
      </c>
      <c r="O48" s="22" t="e">
        <v>#N/A</v>
      </c>
      <c r="P48" s="12"/>
      <c r="Q48" s="810" t="s">
        <v>775</v>
      </c>
      <c r="R48" s="811"/>
      <c r="S48" s="811"/>
      <c r="T48" s="811"/>
      <c r="U48" s="86"/>
      <c r="V48" s="20"/>
    </row>
    <row r="49" spans="1:22" ht="15.75" customHeight="1" x14ac:dyDescent="0.25">
      <c r="A49" s="12"/>
      <c r="B49" s="223">
        <v>10.625</v>
      </c>
      <c r="C49" s="21">
        <v>107.80950000000006</v>
      </c>
      <c r="D49" s="21">
        <v>105.925</v>
      </c>
      <c r="E49" s="24"/>
      <c r="F49" s="873" t="s">
        <v>100</v>
      </c>
      <c r="G49" s="874"/>
      <c r="H49" s="21">
        <v>-0.25</v>
      </c>
      <c r="I49" s="21">
        <v>-0.25</v>
      </c>
      <c r="J49" s="21">
        <v>-0.25</v>
      </c>
      <c r="K49" s="21">
        <v>-0.25</v>
      </c>
      <c r="L49" s="21">
        <v>-0.25</v>
      </c>
      <c r="M49" s="21">
        <v>-0.25</v>
      </c>
      <c r="N49" s="21">
        <v>-0.25</v>
      </c>
      <c r="O49" s="22" t="e">
        <v>#N/A</v>
      </c>
      <c r="P49" s="12"/>
      <c r="Q49" s="810"/>
      <c r="R49" s="811"/>
      <c r="S49" s="811"/>
      <c r="T49" s="811"/>
      <c r="U49" s="32"/>
      <c r="V49" s="20"/>
    </row>
    <row r="50" spans="1:22" x14ac:dyDescent="0.25">
      <c r="A50" s="12"/>
      <c r="B50" s="223">
        <v>10.75</v>
      </c>
      <c r="C50" s="21">
        <v>107.93450000000006</v>
      </c>
      <c r="D50" s="21">
        <v>106.175</v>
      </c>
      <c r="E50" s="24"/>
      <c r="F50" s="800" t="s">
        <v>58</v>
      </c>
      <c r="G50" s="801"/>
      <c r="H50" s="801"/>
      <c r="I50" s="801"/>
      <c r="J50" s="801"/>
      <c r="K50" s="801"/>
      <c r="L50" s="801"/>
      <c r="M50" s="801"/>
      <c r="N50" s="801"/>
      <c r="O50" s="802"/>
      <c r="P50" s="12"/>
      <c r="Q50" s="812"/>
      <c r="R50" s="813"/>
      <c r="S50" s="813"/>
      <c r="T50" s="813"/>
      <c r="U50" s="12"/>
      <c r="V50" s="20"/>
    </row>
    <row r="51" spans="1:22" ht="13.5" customHeight="1" x14ac:dyDescent="0.25">
      <c r="A51" s="12"/>
      <c r="B51" s="310"/>
      <c r="C51" s="310"/>
      <c r="D51" s="310"/>
      <c r="E51" s="12"/>
      <c r="F51" s="627" t="s">
        <v>102</v>
      </c>
      <c r="G51" s="628"/>
      <c r="H51" s="87">
        <v>-1</v>
      </c>
      <c r="I51" s="87">
        <v>-1</v>
      </c>
      <c r="J51" s="87">
        <v>-1</v>
      </c>
      <c r="K51" s="87">
        <v>-1</v>
      </c>
      <c r="L51" s="87">
        <v>-1</v>
      </c>
      <c r="M51" s="87">
        <v>-1</v>
      </c>
      <c r="N51" s="87">
        <v>-1</v>
      </c>
      <c r="O51" s="88">
        <v>-1</v>
      </c>
      <c r="P51" s="32"/>
      <c r="Q51" s="810" t="s">
        <v>94</v>
      </c>
      <c r="R51" s="811"/>
      <c r="S51" s="811"/>
      <c r="T51" s="811"/>
      <c r="U51" s="12"/>
    </row>
    <row r="52" spans="1:22" ht="15.75" customHeight="1" x14ac:dyDescent="0.25">
      <c r="A52" s="12"/>
      <c r="B52" s="311"/>
      <c r="C52" s="311"/>
      <c r="D52" s="311"/>
      <c r="E52" s="12"/>
      <c r="F52" s="627" t="s">
        <v>107</v>
      </c>
      <c r="G52" s="628"/>
      <c r="H52" s="87">
        <v>-1.75</v>
      </c>
      <c r="I52" s="87">
        <v>-1.75</v>
      </c>
      <c r="J52" s="87">
        <v>-1.75</v>
      </c>
      <c r="K52" s="87">
        <v>-1.75</v>
      </c>
      <c r="L52" s="87">
        <v>-1.75</v>
      </c>
      <c r="M52" s="87">
        <v>-1.75</v>
      </c>
      <c r="N52" s="87">
        <v>-1.75</v>
      </c>
      <c r="O52" s="88">
        <v>-2</v>
      </c>
      <c r="P52" s="12"/>
      <c r="Q52" s="810"/>
      <c r="R52" s="811"/>
      <c r="S52" s="811"/>
      <c r="T52" s="811"/>
      <c r="U52" s="12"/>
    </row>
    <row r="53" spans="1:22" x14ac:dyDescent="0.25">
      <c r="A53" s="12"/>
      <c r="B53" s="312"/>
      <c r="C53" s="312"/>
      <c r="D53" s="312"/>
      <c r="E53" s="34"/>
      <c r="F53" s="627" t="s">
        <v>112</v>
      </c>
      <c r="G53" s="628"/>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27" t="s">
        <v>116</v>
      </c>
      <c r="G54" s="628"/>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75" t="s">
        <v>64</v>
      </c>
      <c r="C55" s="875"/>
      <c r="D55" s="228" t="s">
        <v>101</v>
      </c>
      <c r="E55" s="35"/>
      <c r="F55" s="627" t="s">
        <v>121</v>
      </c>
      <c r="G55" s="628"/>
      <c r="H55" s="87">
        <v>0.25</v>
      </c>
      <c r="I55" s="87">
        <v>0.125</v>
      </c>
      <c r="J55" s="87">
        <v>0.125</v>
      </c>
      <c r="K55" s="87">
        <v>0.125</v>
      </c>
      <c r="L55" s="87">
        <v>0.125</v>
      </c>
      <c r="M55" s="87">
        <v>0.125</v>
      </c>
      <c r="N55" s="87">
        <v>0.125</v>
      </c>
      <c r="O55" s="87">
        <v>6.25E-2</v>
      </c>
      <c r="P55" s="12"/>
      <c r="Q55" s="876" t="s">
        <v>103</v>
      </c>
      <c r="R55" s="807"/>
      <c r="S55" s="228" t="s">
        <v>62</v>
      </c>
      <c r="T55" s="228" t="s">
        <v>101</v>
      </c>
      <c r="U55" s="12"/>
    </row>
    <row r="56" spans="1:22" ht="15.75" customHeight="1" x14ac:dyDescent="0.25">
      <c r="A56" s="12"/>
      <c r="B56" s="671" t="s">
        <v>106</v>
      </c>
      <c r="C56" s="671"/>
      <c r="D56" s="89">
        <v>-0.25</v>
      </c>
      <c r="E56" s="38"/>
      <c r="F56" s="627" t="s">
        <v>125</v>
      </c>
      <c r="G56" s="628"/>
      <c r="H56" s="87">
        <v>0.375</v>
      </c>
      <c r="I56" s="87">
        <v>0.25</v>
      </c>
      <c r="J56" s="87">
        <v>0.25</v>
      </c>
      <c r="K56" s="87">
        <v>0.25</v>
      </c>
      <c r="L56" s="87">
        <v>0.25</v>
      </c>
      <c r="M56" s="87">
        <v>0.25</v>
      </c>
      <c r="N56" s="87">
        <v>0.25</v>
      </c>
      <c r="O56" s="87">
        <v>0.125</v>
      </c>
      <c r="P56" s="12"/>
      <c r="Q56" s="90" t="s">
        <v>892</v>
      </c>
      <c r="R56" s="55">
        <v>102.5</v>
      </c>
      <c r="S56" s="91" t="s">
        <v>187</v>
      </c>
      <c r="T56" s="92">
        <v>-0.25</v>
      </c>
      <c r="U56" s="12"/>
    </row>
    <row r="57" spans="1:22" ht="15.75" customHeight="1" x14ac:dyDescent="0.25">
      <c r="A57" s="12"/>
      <c r="B57" s="671" t="s">
        <v>111</v>
      </c>
      <c r="C57" s="671"/>
      <c r="D57" s="89">
        <v>-0.5</v>
      </c>
      <c r="E57" s="44"/>
      <c r="F57" s="627" t="s">
        <v>129</v>
      </c>
      <c r="G57" s="628"/>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791" t="s">
        <v>115</v>
      </c>
      <c r="C58" s="792"/>
      <c r="D58" s="792"/>
      <c r="E58" s="47"/>
      <c r="F58" s="627" t="s">
        <v>131</v>
      </c>
      <c r="G58" s="628"/>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69" t="s">
        <v>190</v>
      </c>
      <c r="C59" s="670"/>
      <c r="D59" s="670"/>
      <c r="E59" s="39"/>
      <c r="F59" s="627" t="s">
        <v>133</v>
      </c>
      <c r="G59" s="628"/>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69"/>
      <c r="C60" s="670"/>
      <c r="D60" s="670"/>
      <c r="E60" s="39"/>
      <c r="F60" s="627" t="s">
        <v>136</v>
      </c>
      <c r="G60" s="628"/>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69"/>
      <c r="C61" s="670"/>
      <c r="D61" s="670"/>
      <c r="E61" s="49"/>
      <c r="F61" s="627" t="s">
        <v>138</v>
      </c>
      <c r="G61" s="628"/>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69"/>
      <c r="C62" s="670"/>
      <c r="D62" s="670"/>
      <c r="E62" s="45"/>
      <c r="F62" s="627" t="s">
        <v>141</v>
      </c>
      <c r="G62" s="628"/>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69"/>
      <c r="C63" s="670"/>
      <c r="D63" s="670"/>
      <c r="E63" s="45"/>
      <c r="F63" s="800" t="s">
        <v>143</v>
      </c>
      <c r="G63" s="801"/>
      <c r="H63" s="801"/>
      <c r="I63" s="801"/>
      <c r="J63" s="801"/>
      <c r="K63" s="801"/>
      <c r="L63" s="801"/>
      <c r="M63" s="801"/>
      <c r="N63" s="801"/>
      <c r="O63" s="802"/>
      <c r="P63" s="32"/>
      <c r="Q63" s="90" t="s">
        <v>132</v>
      </c>
      <c r="R63" s="93">
        <v>101.5</v>
      </c>
      <c r="S63" s="52" t="s">
        <v>135</v>
      </c>
      <c r="T63" s="95">
        <v>0.25</v>
      </c>
      <c r="U63" s="12"/>
      <c r="V63" s="3"/>
    </row>
    <row r="64" spans="1:22" ht="15.75" customHeight="1" x14ac:dyDescent="0.25">
      <c r="A64" s="12"/>
      <c r="B64" s="669"/>
      <c r="C64" s="670"/>
      <c r="D64" s="670"/>
      <c r="E64" s="39"/>
      <c r="F64" s="627" t="s">
        <v>145</v>
      </c>
      <c r="G64" s="628"/>
      <c r="H64" s="21">
        <v>-0.375</v>
      </c>
      <c r="I64" s="21">
        <v>-0.375</v>
      </c>
      <c r="J64" s="21">
        <v>-0.375</v>
      </c>
      <c r="K64" s="21">
        <v>-0.375</v>
      </c>
      <c r="L64" s="21">
        <v>-0.5</v>
      </c>
      <c r="M64" s="21">
        <v>-0.5</v>
      </c>
      <c r="N64" s="21">
        <v>-0.5</v>
      </c>
      <c r="O64" s="22" t="e">
        <v>#N/A</v>
      </c>
      <c r="P64" s="32"/>
      <c r="Q64" s="90" t="s">
        <v>891</v>
      </c>
      <c r="R64" s="93">
        <v>102</v>
      </c>
      <c r="S64" s="52" t="s">
        <v>53</v>
      </c>
      <c r="T64" s="95">
        <v>0</v>
      </c>
      <c r="U64" s="12"/>
      <c r="V64" s="3"/>
    </row>
    <row r="65" spans="1:35" ht="15.75" customHeight="1" x14ac:dyDescent="0.25">
      <c r="A65" s="12"/>
      <c r="B65" s="669"/>
      <c r="C65" s="670"/>
      <c r="D65" s="670"/>
      <c r="E65" s="39"/>
      <c r="F65" s="627" t="s">
        <v>196</v>
      </c>
      <c r="G65" s="628"/>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69"/>
      <c r="C66" s="670"/>
      <c r="D66" s="670"/>
      <c r="E66" s="56"/>
      <c r="F66" s="627" t="s">
        <v>151</v>
      </c>
      <c r="G66" s="628"/>
      <c r="H66" s="21">
        <v>0</v>
      </c>
      <c r="I66" s="21">
        <v>0</v>
      </c>
      <c r="J66" s="21">
        <v>0</v>
      </c>
      <c r="K66" s="21">
        <v>0</v>
      </c>
      <c r="L66" s="21">
        <v>0</v>
      </c>
      <c r="M66" s="21">
        <v>0</v>
      </c>
      <c r="N66" s="21">
        <v>0</v>
      </c>
      <c r="O66" s="22">
        <v>-0.25</v>
      </c>
      <c r="P66" s="12"/>
      <c r="Q66" s="90" t="s">
        <v>195</v>
      </c>
      <c r="R66" s="93">
        <v>100</v>
      </c>
      <c r="S66" s="57" t="s">
        <v>142</v>
      </c>
      <c r="T66" s="95">
        <v>0.25</v>
      </c>
      <c r="U66" s="12"/>
      <c r="V66" s="3"/>
    </row>
    <row r="67" spans="1:35" ht="15.75" customHeight="1" x14ac:dyDescent="0.25">
      <c r="A67" s="12"/>
      <c r="B67" s="669"/>
      <c r="C67" s="670"/>
      <c r="D67" s="670"/>
      <c r="E67" s="58"/>
      <c r="F67" s="627" t="s">
        <v>157</v>
      </c>
      <c r="G67" s="628"/>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5">
      <c r="A68" s="12"/>
      <c r="B68" s="669"/>
      <c r="C68" s="670"/>
      <c r="D68" s="670"/>
      <c r="E68" s="39"/>
      <c r="F68" s="627" t="s">
        <v>204</v>
      </c>
      <c r="G68" s="628"/>
      <c r="H68" s="21">
        <v>-1.5</v>
      </c>
      <c r="I68" s="21">
        <v>-1.5</v>
      </c>
      <c r="J68" s="21">
        <v>-1.5</v>
      </c>
      <c r="K68" s="21">
        <v>-1.5</v>
      </c>
      <c r="L68" s="21">
        <v>-1.5</v>
      </c>
      <c r="M68" s="21">
        <v>-1.75</v>
      </c>
      <c r="N68" s="21" t="e">
        <v>#N/A</v>
      </c>
      <c r="O68" s="22" t="e">
        <v>#N/A</v>
      </c>
      <c r="P68" s="12"/>
      <c r="Q68" s="876" t="s">
        <v>139</v>
      </c>
      <c r="R68" s="807"/>
      <c r="S68" s="52" t="s">
        <v>147</v>
      </c>
      <c r="T68" s="95">
        <v>0.25</v>
      </c>
      <c r="U68" s="12"/>
      <c r="V68" s="3"/>
      <c r="W68" s="3"/>
      <c r="X68" s="3"/>
      <c r="Y68" s="3"/>
      <c r="Z68" s="3"/>
      <c r="AA68" s="3"/>
      <c r="AB68" s="3"/>
      <c r="AC68" s="3"/>
      <c r="AD68" s="3"/>
      <c r="AE68" s="3"/>
      <c r="AF68" s="3"/>
      <c r="AG68" s="3"/>
      <c r="AH68" s="3"/>
      <c r="AI68" s="3"/>
    </row>
    <row r="69" spans="1:35" x14ac:dyDescent="0.25">
      <c r="A69" s="12"/>
      <c r="B69" s="783" t="s">
        <v>153</v>
      </c>
      <c r="C69" s="784"/>
      <c r="D69" s="784"/>
      <c r="E69" s="56"/>
      <c r="F69" s="627" t="s">
        <v>69</v>
      </c>
      <c r="G69" s="628"/>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65" t="s">
        <v>156</v>
      </c>
      <c r="C70" s="666"/>
      <c r="D70" s="666"/>
      <c r="E70" s="59"/>
      <c r="F70" s="800" t="s">
        <v>33</v>
      </c>
      <c r="G70" s="801"/>
      <c r="H70" s="801"/>
      <c r="I70" s="801"/>
      <c r="J70" s="801"/>
      <c r="K70" s="801"/>
      <c r="L70" s="801"/>
      <c r="M70" s="801"/>
      <c r="N70" s="801"/>
      <c r="O70" s="802"/>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791" t="s">
        <v>159</v>
      </c>
      <c r="C71" s="792"/>
      <c r="D71" s="792"/>
      <c r="E71" s="60"/>
      <c r="F71" s="627" t="s">
        <v>34</v>
      </c>
      <c r="G71" s="628"/>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48" t="s">
        <v>664</v>
      </c>
      <c r="C72" s="668"/>
      <c r="D72" s="668"/>
      <c r="E72" s="60"/>
      <c r="F72" s="627" t="s">
        <v>166</v>
      </c>
      <c r="G72" s="628"/>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68"/>
      <c r="C73" s="668"/>
      <c r="D73" s="668"/>
      <c r="E73" s="60"/>
      <c r="F73" s="627" t="s">
        <v>168</v>
      </c>
      <c r="G73" s="628"/>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68"/>
      <c r="C74" s="668"/>
      <c r="D74" s="668"/>
      <c r="E74" s="60"/>
      <c r="F74" s="627" t="s">
        <v>169</v>
      </c>
      <c r="G74" s="628"/>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68"/>
      <c r="C75" s="668"/>
      <c r="D75" s="668"/>
      <c r="E75" s="60"/>
      <c r="F75" s="627" t="s">
        <v>170</v>
      </c>
      <c r="G75" s="628"/>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77"/>
      <c r="C76" s="877"/>
      <c r="D76" s="877"/>
      <c r="E76" s="60"/>
      <c r="F76" s="800" t="s">
        <v>36</v>
      </c>
      <c r="G76" s="801"/>
      <c r="H76" s="801"/>
      <c r="I76" s="801"/>
      <c r="J76" s="801"/>
      <c r="K76" s="801"/>
      <c r="L76" s="801"/>
      <c r="M76" s="801"/>
      <c r="N76" s="801"/>
      <c r="O76" s="802"/>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27" t="s">
        <v>171</v>
      </c>
      <c r="G77" s="628"/>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27" t="s">
        <v>172</v>
      </c>
      <c r="G78" s="628"/>
      <c r="H78" s="21">
        <v>-1</v>
      </c>
      <c r="I78" s="21">
        <v>-1</v>
      </c>
      <c r="J78" s="21">
        <v>-1</v>
      </c>
      <c r="K78" s="21">
        <v>-1.25</v>
      </c>
      <c r="L78" s="21">
        <v>-1.25</v>
      </c>
      <c r="M78" s="21">
        <v>-1.25</v>
      </c>
      <c r="N78" s="21">
        <v>-1.25</v>
      </c>
      <c r="O78" s="22">
        <v>-1.25</v>
      </c>
      <c r="P78" s="12"/>
      <c r="Q78" s="817" t="s">
        <v>765</v>
      </c>
      <c r="R78" s="818"/>
      <c r="S78" s="818"/>
      <c r="T78" s="819"/>
      <c r="U78" s="32"/>
      <c r="W78" s="3"/>
      <c r="X78" s="3"/>
      <c r="Y78" s="3"/>
      <c r="Z78" s="3"/>
      <c r="AA78" s="3"/>
      <c r="AB78" s="3"/>
      <c r="AC78" s="3"/>
      <c r="AD78" s="3"/>
      <c r="AE78" s="3"/>
      <c r="AF78" s="3"/>
      <c r="AG78" s="3"/>
      <c r="AH78" s="3"/>
      <c r="AI78" s="3"/>
    </row>
    <row r="79" spans="1:35" ht="15" customHeight="1" x14ac:dyDescent="0.25">
      <c r="A79" s="12"/>
      <c r="B79" s="235"/>
      <c r="C79" s="235"/>
      <c r="D79" s="235"/>
      <c r="E79" s="60"/>
      <c r="F79" s="627" t="s">
        <v>173</v>
      </c>
      <c r="G79" s="628"/>
      <c r="H79" s="21">
        <v>-0.25</v>
      </c>
      <c r="I79" s="21">
        <v>-0.25</v>
      </c>
      <c r="J79" s="21">
        <v>-0.25</v>
      </c>
      <c r="K79" s="21">
        <v>-0.25</v>
      </c>
      <c r="L79" s="21">
        <v>-0.25</v>
      </c>
      <c r="M79" s="21">
        <v>-0.5</v>
      </c>
      <c r="N79" s="21">
        <v>-0.5</v>
      </c>
      <c r="O79" s="22">
        <v>-0.5</v>
      </c>
      <c r="P79" s="12"/>
      <c r="Q79" s="652" t="str">
        <f>'Feed(DSCR)'!$U$161</f>
        <v>Tier 1 States</v>
      </c>
      <c r="R79" s="651" t="str">
        <f>'Feed(DSCR)'!$V$161</f>
        <v>AZ, CA, CO, CT, GA, HI, MA, MD, NJ, NV, OR, SC, UT, VA, WA</v>
      </c>
      <c r="S79" s="651"/>
      <c r="T79" s="649">
        <f>'Feed(DSCR)'!$W$161</f>
        <v>0</v>
      </c>
      <c r="U79" s="32"/>
      <c r="W79" s="3"/>
      <c r="X79" s="3"/>
      <c r="Y79" s="3"/>
      <c r="Z79" s="3"/>
      <c r="AA79" s="3"/>
      <c r="AB79" s="3"/>
      <c r="AC79" s="3"/>
      <c r="AD79" s="3"/>
      <c r="AE79" s="3"/>
      <c r="AF79" s="3"/>
      <c r="AG79" s="3"/>
      <c r="AH79" s="3"/>
      <c r="AI79" s="3"/>
    </row>
    <row r="80" spans="1:35" ht="15" customHeight="1" thickBot="1" x14ac:dyDescent="0.3">
      <c r="A80" s="12"/>
      <c r="B80" s="877"/>
      <c r="C80" s="877"/>
      <c r="D80" s="877"/>
      <c r="E80" s="60"/>
      <c r="F80" s="878" t="s">
        <v>174</v>
      </c>
      <c r="G80" s="879"/>
      <c r="H80" s="340">
        <v>0</v>
      </c>
      <c r="I80" s="340">
        <v>0</v>
      </c>
      <c r="J80" s="340">
        <v>0</v>
      </c>
      <c r="K80" s="340">
        <v>0</v>
      </c>
      <c r="L80" s="340">
        <v>0</v>
      </c>
      <c r="M80" s="340">
        <v>0</v>
      </c>
      <c r="N80" s="340">
        <v>0</v>
      </c>
      <c r="O80" s="341">
        <v>0</v>
      </c>
      <c r="P80" s="12"/>
      <c r="Q80" s="652"/>
      <c r="R80" s="651"/>
      <c r="S80" s="651"/>
      <c r="T80" s="649"/>
      <c r="U80" s="12"/>
    </row>
    <row r="81" spans="1:21" ht="15" customHeight="1" x14ac:dyDescent="0.25">
      <c r="A81" s="12"/>
      <c r="B81" s="415"/>
      <c r="C81" s="415"/>
      <c r="D81" s="416"/>
      <c r="E81" s="60"/>
      <c r="F81" s="410"/>
      <c r="G81" s="411"/>
      <c r="H81" s="411"/>
      <c r="I81" s="411"/>
      <c r="J81" s="411"/>
      <c r="K81" s="411"/>
      <c r="L81" s="411"/>
      <c r="M81" s="411"/>
      <c r="N81" s="411"/>
      <c r="O81" s="412"/>
      <c r="P81" s="12"/>
      <c r="Q81" s="652" t="str">
        <f>'Feed(DSCR)'!$U$162</f>
        <v>Tier 2 States</v>
      </c>
      <c r="R81" s="651" t="str">
        <f>'Feed(DSCR)'!$V$162</f>
        <v>DC, FL, ID, IL, IN, LA, MI, MN, MO, NC, OH, OK, PA, RI, TN, TX</v>
      </c>
      <c r="S81" s="651"/>
      <c r="T81" s="649">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52"/>
      <c r="R82" s="651"/>
      <c r="S82" s="651"/>
      <c r="T82" s="649"/>
      <c r="U82" s="12"/>
    </row>
    <row r="83" spans="1:21" ht="15" customHeight="1" x14ac:dyDescent="0.25">
      <c r="A83" s="12"/>
      <c r="B83" s="415"/>
      <c r="C83" s="415"/>
      <c r="D83" s="416"/>
      <c r="E83" s="60"/>
      <c r="F83" s="413"/>
      <c r="G83" s="406"/>
      <c r="H83" s="406"/>
      <c r="I83" s="406"/>
      <c r="J83" s="406"/>
      <c r="K83" s="406"/>
      <c r="L83" s="406"/>
      <c r="M83" s="406"/>
      <c r="N83" s="406"/>
      <c r="O83" s="414"/>
      <c r="P83" s="12"/>
      <c r="Q83" s="652" t="str">
        <f>'Feed(DSCR)'!$U$163</f>
        <v>Tier 3 States</v>
      </c>
      <c r="R83" s="651" t="str">
        <f>'Feed(DSCR)'!$V$163</f>
        <v>AK, AL, AR, DE, IA, KS, KY, ME, MS, MT, ND, NE, NH, NM, SD, VT WI, WV, WY</v>
      </c>
      <c r="S83" s="651"/>
      <c r="T83" s="649">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59"/>
      <c r="R84" s="660"/>
      <c r="S84" s="660"/>
      <c r="T84" s="650"/>
      <c r="U84" s="12"/>
    </row>
    <row r="85" spans="1:21" ht="15" customHeight="1" x14ac:dyDescent="0.25">
      <c r="A85" s="12"/>
      <c r="B85" s="415"/>
      <c r="C85" s="415"/>
      <c r="D85" s="416"/>
      <c r="E85" s="60"/>
      <c r="F85" s="413"/>
      <c r="G85" s="406"/>
      <c r="H85" s="406"/>
      <c r="I85" s="406"/>
      <c r="J85" s="406"/>
      <c r="K85" s="406"/>
      <c r="L85" s="406"/>
      <c r="M85" s="406"/>
      <c r="N85" s="406"/>
      <c r="O85" s="414"/>
      <c r="P85" s="12"/>
      <c r="Q85" s="615"/>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67"/>
      <c r="C87" s="667"/>
      <c r="D87" s="73"/>
      <c r="E87" s="73"/>
      <c r="F87" s="106"/>
      <c r="G87" s="106"/>
      <c r="H87" s="108"/>
      <c r="I87" s="108"/>
      <c r="J87" s="108"/>
      <c r="K87" s="108"/>
      <c r="L87" s="108"/>
      <c r="M87" s="108"/>
      <c r="N87" s="108"/>
      <c r="O87" s="108"/>
      <c r="Q87" s="3"/>
      <c r="R87" s="3"/>
    </row>
    <row r="88" spans="1:21" ht="15" customHeight="1" x14ac:dyDescent="0.25">
      <c r="B88" s="667"/>
      <c r="C88" s="667"/>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zrJIzLWGZLtlwMD/j+uMBLjHifp/2vNfHJw6HjIvC8QvgAH3oEC/ss/P2ehCPs+NTzG6HaIwWfaHd9EGqrjS1w==" saltValue="0zahwb/aOkFWHXI9UMihAA==" spinCount="100000" sheet="1" objects="1" scenarios="1"/>
  <mergeCells count="165">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38:G38"/>
    <mergeCell ref="Q38:S38"/>
    <mergeCell ref="U38:U39"/>
    <mergeCell ref="F39:G39"/>
    <mergeCell ref="Q39:S39"/>
    <mergeCell ref="F40:G40"/>
    <mergeCell ref="Q40:S40"/>
    <mergeCell ref="U40:U41"/>
    <mergeCell ref="F41:G41"/>
    <mergeCell ref="Q41:T41"/>
    <mergeCell ref="F34:G34"/>
    <mergeCell ref="Q34:R34"/>
    <mergeCell ref="U34:U35"/>
    <mergeCell ref="F35:O35"/>
    <mergeCell ref="Q35:R35"/>
    <mergeCell ref="F36:G36"/>
    <mergeCell ref="Q36:S36"/>
    <mergeCell ref="U36:U37"/>
    <mergeCell ref="F37:G37"/>
    <mergeCell ref="Q37:S37"/>
    <mergeCell ref="F30:G30"/>
    <mergeCell ref="Q30:R30"/>
    <mergeCell ref="U30:U31"/>
    <mergeCell ref="F31:G31"/>
    <mergeCell ref="Q31:R31"/>
    <mergeCell ref="F32:G32"/>
    <mergeCell ref="Q32:R32"/>
    <mergeCell ref="U32:U33"/>
    <mergeCell ref="F33:G33"/>
    <mergeCell ref="Q33:R33"/>
    <mergeCell ref="F26:G26"/>
    <mergeCell ref="Q26:R26"/>
    <mergeCell ref="U26:U27"/>
    <mergeCell ref="F27:G27"/>
    <mergeCell ref="Q27:R27"/>
    <mergeCell ref="F28:G28"/>
    <mergeCell ref="Q28:R28"/>
    <mergeCell ref="U28:U29"/>
    <mergeCell ref="F29:O29"/>
    <mergeCell ref="Q29:R29"/>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F11:G11"/>
    <mergeCell ref="Q11:R11"/>
    <mergeCell ref="B2:D2"/>
    <mergeCell ref="C3:D3"/>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50">
    <cfRule type="containsErrors" dxfId="198" priority="62">
      <formula>ISERROR(C14)</formula>
    </cfRule>
  </conditionalFormatting>
  <conditionalFormatting sqref="C14:C52">
    <cfRule type="containsText" dxfId="197" priority="35" operator="containsText" text="n/a">
      <formula>NOT(ISERROR(SEARCH("n/a",C14)))</formula>
    </cfRule>
  </conditionalFormatting>
  <conditionalFormatting sqref="D21:D50">
    <cfRule type="containsErrors" dxfId="196" priority="61">
      <formula>ISERROR(D21)</formula>
    </cfRule>
  </conditionalFormatting>
  <conditionalFormatting sqref="D2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9" t="s">
        <v>0</v>
      </c>
      <c r="K1" s="2"/>
      <c r="L1" s="634"/>
      <c r="M1" s="634"/>
      <c r="N1" s="2"/>
      <c r="O1" s="2"/>
      <c r="P1" s="3"/>
      <c r="R1"/>
      <c r="S1"/>
      <c r="T1"/>
      <c r="U1"/>
      <c r="V1"/>
      <c r="W1"/>
    </row>
    <row r="2" spans="1:24" ht="17.45" customHeight="1" x14ac:dyDescent="0.3">
      <c r="A2"/>
      <c r="B2"/>
      <c r="C2"/>
      <c r="D2" s="577"/>
      <c r="G2" s="4"/>
      <c r="H2" s="4"/>
      <c r="I2" s="4"/>
      <c r="J2" s="540" t="s">
        <v>1</v>
      </c>
      <c r="K2" s="4"/>
      <c r="L2" s="636"/>
      <c r="M2" s="636"/>
      <c r="N2" s="2"/>
      <c r="O2" s="2"/>
      <c r="P2" s="3"/>
      <c r="R2"/>
      <c r="S2"/>
      <c r="T2"/>
      <c r="U2"/>
      <c r="V2"/>
      <c r="W2"/>
    </row>
    <row r="3" spans="1:24" ht="17.45" customHeight="1" x14ac:dyDescent="0.25">
      <c r="A3"/>
      <c r="B3"/>
      <c r="C3"/>
      <c r="D3" s="543"/>
      <c r="G3" s="4"/>
      <c r="H3" s="4"/>
      <c r="I3" s="4"/>
      <c r="J3" s="540" t="s">
        <v>2</v>
      </c>
      <c r="K3" s="4"/>
      <c r="L3" s="636"/>
      <c r="M3" s="636"/>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46192</v>
      </c>
      <c r="C5" s="489"/>
      <c r="G5" s="9"/>
      <c r="H5" s="82"/>
      <c r="I5" s="542" t="s">
        <v>3</v>
      </c>
      <c r="J5" s="82">
        <v>46146</v>
      </c>
      <c r="K5" s="8"/>
      <c r="M5" s="473"/>
      <c r="N5" s="3"/>
      <c r="O5" s="3"/>
      <c r="R5"/>
      <c r="S5"/>
      <c r="T5"/>
      <c r="U5"/>
      <c r="V5"/>
      <c r="W5"/>
    </row>
    <row r="6" spans="1:24" ht="17.45" customHeight="1" x14ac:dyDescent="0.25">
      <c r="A6" s="239"/>
      <c r="B6" s="861" t="s">
        <v>4</v>
      </c>
      <c r="C6" s="880"/>
      <c r="D6" s="239"/>
      <c r="E6" s="861" t="s">
        <v>922</v>
      </c>
      <c r="F6" s="883"/>
      <c r="G6" s="883"/>
      <c r="H6" s="883"/>
      <c r="I6" s="883"/>
      <c r="J6" s="880"/>
      <c r="K6" s="239"/>
      <c r="L6" s="239"/>
      <c r="M6" s="861" t="s">
        <v>921</v>
      </c>
      <c r="N6" s="883"/>
      <c r="O6" s="883"/>
      <c r="P6" s="880"/>
      <c r="Q6" s="495"/>
    </row>
    <row r="7" spans="1:24" ht="17.45" customHeight="1" thickBot="1" x14ac:dyDescent="0.3">
      <c r="A7" s="239"/>
      <c r="B7" s="881"/>
      <c r="C7" s="882"/>
      <c r="D7" s="239"/>
      <c r="E7" s="881"/>
      <c r="F7" s="884"/>
      <c r="G7" s="884"/>
      <c r="H7" s="884"/>
      <c r="I7" s="884"/>
      <c r="J7" s="882"/>
      <c r="K7" s="239"/>
      <c r="L7" s="239"/>
      <c r="M7" s="881"/>
      <c r="N7" s="884"/>
      <c r="O7" s="884"/>
      <c r="P7" s="882"/>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885" t="s">
        <v>6</v>
      </c>
      <c r="C9" s="886"/>
      <c r="D9" s="239"/>
      <c r="E9" s="885" t="s">
        <v>7</v>
      </c>
      <c r="F9" s="887"/>
      <c r="G9" s="887"/>
      <c r="H9" s="887"/>
      <c r="I9" s="887"/>
      <c r="J9" s="886"/>
      <c r="K9" s="239"/>
      <c r="L9" s="239"/>
      <c r="M9" s="498"/>
      <c r="N9" s="499"/>
      <c r="O9" s="499" t="s">
        <v>8</v>
      </c>
      <c r="P9" s="500"/>
      <c r="Q9" s="12"/>
    </row>
    <row r="10" spans="1:24" ht="15.75" customHeight="1" x14ac:dyDescent="0.25">
      <c r="A10" s="239"/>
      <c r="B10" s="425" t="s">
        <v>9</v>
      </c>
      <c r="C10" s="426" t="s">
        <v>209</v>
      </c>
      <c r="D10" s="239"/>
      <c r="E10" s="639" t="s">
        <v>11</v>
      </c>
      <c r="F10" s="640"/>
      <c r="G10" s="427" t="s">
        <v>12</v>
      </c>
      <c r="H10" s="427" t="s">
        <v>13</v>
      </c>
      <c r="I10" s="427" t="s">
        <v>14</v>
      </c>
      <c r="J10" s="426" t="s">
        <v>15</v>
      </c>
      <c r="K10" s="239"/>
      <c r="L10" s="239"/>
      <c r="M10" s="890" t="s">
        <v>21</v>
      </c>
      <c r="N10" s="891"/>
      <c r="O10" s="16">
        <v>0</v>
      </c>
      <c r="P10" s="501"/>
      <c r="Q10" s="12"/>
    </row>
    <row r="11" spans="1:24" ht="14.25" customHeight="1" x14ac:dyDescent="0.25">
      <c r="A11" s="239"/>
      <c r="B11" s="223">
        <v>7</v>
      </c>
      <c r="C11" s="492">
        <v>94.5</v>
      </c>
      <c r="D11" s="239"/>
      <c r="E11" s="835" t="s">
        <v>900</v>
      </c>
      <c r="F11" s="836">
        <v>0</v>
      </c>
      <c r="G11" s="17">
        <v>0.5</v>
      </c>
      <c r="H11" s="17">
        <v>0.25</v>
      </c>
      <c r="I11" s="17">
        <v>0</v>
      </c>
      <c r="J11" s="18">
        <v>-0.25</v>
      </c>
      <c r="K11" s="239"/>
      <c r="L11" s="239"/>
      <c r="M11" s="888" t="s">
        <v>23</v>
      </c>
      <c r="N11" s="889"/>
      <c r="O11" s="19" t="s">
        <v>31</v>
      </c>
      <c r="P11" s="501"/>
      <c r="Q11" s="12"/>
      <c r="R11" s="20"/>
      <c r="S11" s="20"/>
      <c r="T11" s="20"/>
      <c r="U11" s="20"/>
      <c r="V11" s="20"/>
      <c r="W11" s="20"/>
      <c r="X11" s="20"/>
    </row>
    <row r="12" spans="1:24" x14ac:dyDescent="0.25">
      <c r="A12" s="239"/>
      <c r="B12" s="223">
        <v>7.125</v>
      </c>
      <c r="C12" s="492">
        <v>94.875</v>
      </c>
      <c r="D12" s="239"/>
      <c r="E12" s="835" t="s">
        <v>42</v>
      </c>
      <c r="F12" s="836">
        <v>0</v>
      </c>
      <c r="G12" s="21">
        <v>0.25</v>
      </c>
      <c r="H12" s="21">
        <v>0</v>
      </c>
      <c r="I12" s="17">
        <v>-0.25</v>
      </c>
      <c r="J12" s="22">
        <v>-0.5</v>
      </c>
      <c r="K12" s="239"/>
      <c r="L12" s="239"/>
      <c r="M12" s="888" t="s">
        <v>25</v>
      </c>
      <c r="N12" s="889"/>
      <c r="O12" s="19" t="s">
        <v>31</v>
      </c>
      <c r="P12" s="501" t="b">
        <f>IF(ISNUMBER(MATCH($O$11,'Feed(CoreFlex)'!$B$3:$B$11,0)),INDEX($G$11:$J$16,MATCH($O$12,$E$11:$E$16,0),MATCH($O$11,$G$10:$J$10,0)))</f>
        <v>0</v>
      </c>
      <c r="Q12" s="12"/>
      <c r="R12" s="20"/>
      <c r="S12" s="20"/>
      <c r="T12" s="20"/>
      <c r="U12" s="20"/>
      <c r="V12" s="20"/>
      <c r="W12" s="20"/>
      <c r="X12" s="20"/>
    </row>
    <row r="13" spans="1:24" ht="15.75" customHeight="1" x14ac:dyDescent="0.25">
      <c r="A13" s="239"/>
      <c r="B13" s="223">
        <v>7.25</v>
      </c>
      <c r="C13" s="492">
        <v>95.25</v>
      </c>
      <c r="D13" s="239"/>
      <c r="E13" s="835" t="s">
        <v>44</v>
      </c>
      <c r="F13" s="836">
        <v>0</v>
      </c>
      <c r="G13" s="21">
        <v>0</v>
      </c>
      <c r="H13" s="21">
        <v>-0.25</v>
      </c>
      <c r="I13" s="17">
        <v>-0.5</v>
      </c>
      <c r="J13" s="22">
        <v>-0.75</v>
      </c>
      <c r="K13" s="239"/>
      <c r="L13" s="239"/>
      <c r="M13" s="888" t="s">
        <v>27</v>
      </c>
      <c r="N13" s="889"/>
      <c r="O13" s="19"/>
      <c r="P13" s="501">
        <v>0</v>
      </c>
      <c r="Q13" s="12"/>
      <c r="R13" s="20"/>
      <c r="S13" s="20"/>
      <c r="T13" s="20"/>
      <c r="U13" s="20"/>
      <c r="V13" s="20"/>
      <c r="W13" s="20"/>
      <c r="X13" s="20"/>
    </row>
    <row r="14" spans="1:24" ht="15.75" customHeight="1" x14ac:dyDescent="0.25">
      <c r="A14" s="239"/>
      <c r="B14" s="223">
        <v>7.375</v>
      </c>
      <c r="C14" s="492">
        <v>95.625</v>
      </c>
      <c r="D14" s="239"/>
      <c r="E14" s="835" t="s">
        <v>901</v>
      </c>
      <c r="F14" s="836">
        <v>0</v>
      </c>
      <c r="G14" s="21">
        <v>-0.5</v>
      </c>
      <c r="H14" s="21">
        <v>-0.75</v>
      </c>
      <c r="I14" s="17">
        <v>-1</v>
      </c>
      <c r="J14" s="22">
        <v>-1.5</v>
      </c>
      <c r="K14" s="239"/>
      <c r="L14" s="239"/>
      <c r="M14" s="888" t="s">
        <v>30</v>
      </c>
      <c r="N14" s="889"/>
      <c r="O14" s="19" t="s">
        <v>31</v>
      </c>
      <c r="P14" s="502">
        <f>IF(OR(O14="",O10=""),"",IF(O14="&lt; 6 Months",NA(),0))</f>
        <v>0</v>
      </c>
      <c r="Q14" s="12"/>
      <c r="R14" s="20"/>
      <c r="S14" s="20"/>
      <c r="T14" s="20"/>
      <c r="U14" s="20"/>
      <c r="V14" s="20"/>
      <c r="W14" s="20"/>
      <c r="X14" s="20"/>
    </row>
    <row r="15" spans="1:24" x14ac:dyDescent="0.25">
      <c r="A15" s="239"/>
      <c r="B15" s="223">
        <v>7.5</v>
      </c>
      <c r="C15" s="492">
        <v>96</v>
      </c>
      <c r="D15" s="239"/>
      <c r="E15" s="835" t="s">
        <v>902</v>
      </c>
      <c r="F15" s="836">
        <v>0</v>
      </c>
      <c r="G15" s="21">
        <v>-0.75</v>
      </c>
      <c r="H15" s="21">
        <v>-0.875</v>
      </c>
      <c r="I15" s="17">
        <v>-1.25</v>
      </c>
      <c r="J15" s="22">
        <v>-1.75</v>
      </c>
      <c r="K15" s="239"/>
      <c r="L15" s="239"/>
      <c r="M15" s="888" t="s">
        <v>33</v>
      </c>
      <c r="N15" s="889"/>
      <c r="O15" s="19" t="s">
        <v>31</v>
      </c>
      <c r="P15" s="501" t="e">
        <f>IF(OR($O$11="", $O$15=""), "",INDEX($G$33:$J$34,MATCH($O$15,$E$33:$E$34,0),MATCH($O$11,$G$10:$J$10,0)))</f>
        <v>#N/A</v>
      </c>
      <c r="Q15" s="12"/>
      <c r="R15" s="20"/>
      <c r="S15" s="20"/>
      <c r="T15" s="20"/>
      <c r="U15" s="20"/>
      <c r="V15" s="20"/>
      <c r="W15" s="20"/>
      <c r="X15" s="20"/>
    </row>
    <row r="16" spans="1:24" ht="14.25" customHeight="1" x14ac:dyDescent="0.25">
      <c r="A16" s="239"/>
      <c r="B16" s="223">
        <v>7.625</v>
      </c>
      <c r="C16" s="492">
        <v>96.375</v>
      </c>
      <c r="D16" s="239"/>
      <c r="E16" s="835" t="s">
        <v>903</v>
      </c>
      <c r="F16" s="836">
        <v>0</v>
      </c>
      <c r="G16" s="21">
        <v>-1</v>
      </c>
      <c r="H16" s="21">
        <v>-1.125</v>
      </c>
      <c r="I16" s="17">
        <v>-1.5</v>
      </c>
      <c r="J16" s="22">
        <v>-2</v>
      </c>
      <c r="K16" s="239"/>
      <c r="L16" s="239"/>
      <c r="M16" s="888" t="s">
        <v>36</v>
      </c>
      <c r="N16" s="889"/>
      <c r="O16" s="19" t="s">
        <v>31</v>
      </c>
      <c r="P16" s="501" t="e">
        <f>IF(OR($O$11="", $O$16="", $O$16="NONE"),0,NA())</f>
        <v>#N/A</v>
      </c>
      <c r="Q16" s="12"/>
      <c r="R16" s="20"/>
      <c r="S16" s="20"/>
      <c r="T16" s="20"/>
      <c r="U16" s="20"/>
      <c r="V16" s="20"/>
      <c r="W16" s="20"/>
      <c r="X16" s="20"/>
    </row>
    <row r="17" spans="1:20" x14ac:dyDescent="0.25">
      <c r="A17" s="239"/>
      <c r="B17" s="223">
        <v>7.75</v>
      </c>
      <c r="C17" s="492">
        <v>96.75</v>
      </c>
      <c r="D17" s="239"/>
      <c r="E17" s="503"/>
      <c r="F17" s="504"/>
      <c r="G17" s="504"/>
      <c r="H17" s="504"/>
      <c r="I17" s="504"/>
      <c r="J17" s="505"/>
      <c r="K17" s="239"/>
      <c r="L17" s="239"/>
      <c r="M17" s="888" t="s">
        <v>39</v>
      </c>
      <c r="N17" s="889"/>
      <c r="O17" s="19" t="s">
        <v>209</v>
      </c>
      <c r="P17" s="501">
        <v>0</v>
      </c>
      <c r="Q17" s="12"/>
      <c r="R17" s="20"/>
      <c r="S17" s="20"/>
      <c r="T17" s="20"/>
    </row>
    <row r="18" spans="1:20" ht="15.75" thickBot="1" x14ac:dyDescent="0.3">
      <c r="A18" s="239"/>
      <c r="B18" s="223">
        <v>7.875</v>
      </c>
      <c r="C18" s="492">
        <v>97.125</v>
      </c>
      <c r="D18" s="239"/>
      <c r="E18" s="506"/>
      <c r="F18" s="507"/>
      <c r="G18" s="507"/>
      <c r="H18" s="507"/>
      <c r="I18" s="507"/>
      <c r="J18" s="508"/>
      <c r="K18" s="239"/>
      <c r="L18" s="239"/>
      <c r="M18" s="888" t="s">
        <v>41</v>
      </c>
      <c r="N18" s="889"/>
      <c r="O18" s="19" t="s">
        <v>210</v>
      </c>
      <c r="P18" s="501">
        <v>0</v>
      </c>
      <c r="Q18" s="12"/>
      <c r="R18" s="20"/>
      <c r="S18" s="20"/>
      <c r="T18" s="20"/>
    </row>
    <row r="19" spans="1:20" ht="15.75" customHeight="1" x14ac:dyDescent="0.25">
      <c r="A19" s="239"/>
      <c r="B19" s="223">
        <v>8</v>
      </c>
      <c r="C19" s="492">
        <v>97.5</v>
      </c>
      <c r="D19" s="239"/>
      <c r="E19" s="818" t="s">
        <v>47</v>
      </c>
      <c r="F19" s="892"/>
      <c r="G19" s="892"/>
      <c r="H19" s="892"/>
      <c r="I19" s="892"/>
      <c r="J19" s="892"/>
      <c r="K19" s="239"/>
      <c r="L19" s="239"/>
      <c r="M19" s="888" t="s">
        <v>592</v>
      </c>
      <c r="N19" s="889"/>
      <c r="O19" s="19" t="s">
        <v>31</v>
      </c>
      <c r="P19" s="501" t="e">
        <f>IF(OR($O$11="",$O$19=""),"",IF(O19="US Citizen",0,INDEX($G$36:$J$36,MATCH($O$19,E36,0),MATCH($O$11,$G$10:$J$10,0))))</f>
        <v>#N/A</v>
      </c>
      <c r="Q19" s="12"/>
      <c r="R19" s="20"/>
      <c r="S19" s="20"/>
      <c r="T19" s="20"/>
    </row>
    <row r="20" spans="1:20" ht="15.75" customHeight="1" x14ac:dyDescent="0.25">
      <c r="A20" s="239"/>
      <c r="B20" s="223">
        <v>8.125</v>
      </c>
      <c r="C20" s="492">
        <v>97.875</v>
      </c>
      <c r="D20" s="239"/>
      <c r="E20" s="620" t="s">
        <v>68</v>
      </c>
      <c r="F20" s="621">
        <v>0</v>
      </c>
      <c r="G20" s="25">
        <v>0</v>
      </c>
      <c r="H20" s="25">
        <v>0</v>
      </c>
      <c r="I20" s="25">
        <v>0</v>
      </c>
      <c r="J20" s="26">
        <v>0</v>
      </c>
      <c r="K20" s="239"/>
      <c r="L20" s="239"/>
      <c r="M20" s="888" t="s">
        <v>45</v>
      </c>
      <c r="N20" s="889"/>
      <c r="O20" s="19" t="s">
        <v>31</v>
      </c>
      <c r="P20" s="501" t="e">
        <f>IF(O20="DTI ≤40%",0,IF(OR($O$11="",$O$20=""),"",INDEX($G$37:$J$37,MATCH($O$20,E37,0),MATCH($O$11,$G$10:$J$10,0))))</f>
        <v>#N/A</v>
      </c>
      <c r="Q20" s="12"/>
      <c r="R20" s="20"/>
      <c r="S20" s="20"/>
      <c r="T20" s="20"/>
    </row>
    <row r="21" spans="1:20" ht="15.75" customHeight="1" x14ac:dyDescent="0.25">
      <c r="A21" s="239"/>
      <c r="B21" s="223">
        <v>8.25</v>
      </c>
      <c r="C21" s="492">
        <v>98.25</v>
      </c>
      <c r="D21" s="239"/>
      <c r="E21" s="620" t="s">
        <v>70</v>
      </c>
      <c r="F21" s="621">
        <v>0</v>
      </c>
      <c r="G21" s="25">
        <v>-0.25</v>
      </c>
      <c r="H21" s="25">
        <v>-0.25</v>
      </c>
      <c r="I21" s="25">
        <v>-0.25</v>
      </c>
      <c r="J21" s="26">
        <v>-0.25</v>
      </c>
      <c r="K21" s="239"/>
      <c r="L21" s="239"/>
      <c r="M21" s="888" t="s">
        <v>46</v>
      </c>
      <c r="N21" s="889"/>
      <c r="O21" s="19" t="s">
        <v>31</v>
      </c>
      <c r="P21" s="501" t="e">
        <f>IF(OR($O$11="", $O$21=""), "",INDEX($G$24:$J$28,MATCH($O$21,$E$24:$E$28,0),MATCH($O$11,$G$10:$J$10,0)))</f>
        <v>#N/A</v>
      </c>
      <c r="Q21" s="12"/>
      <c r="R21" s="20"/>
      <c r="T21" s="20"/>
    </row>
    <row r="22" spans="1:20" x14ac:dyDescent="0.25">
      <c r="A22" s="239"/>
      <c r="B22" s="223">
        <v>8.375</v>
      </c>
      <c r="C22" s="492">
        <v>98.625</v>
      </c>
      <c r="D22" s="239"/>
      <c r="E22" s="620" t="s">
        <v>72</v>
      </c>
      <c r="F22" s="621">
        <v>0</v>
      </c>
      <c r="G22" s="25">
        <v>-0.5</v>
      </c>
      <c r="H22" s="25">
        <v>-0.5</v>
      </c>
      <c r="I22" s="25">
        <v>-0.5</v>
      </c>
      <c r="J22" s="26" t="e">
        <v>#N/A</v>
      </c>
      <c r="K22" s="239"/>
      <c r="L22" s="239"/>
      <c r="M22" s="888" t="s">
        <v>47</v>
      </c>
      <c r="N22" s="889"/>
      <c r="O22" s="19" t="s">
        <v>31</v>
      </c>
      <c r="P22" s="501" t="e">
        <f>IF(OR($O$11="", $O$22=""), "",INDEX($G$20:$J$22,MATCH($O$22,$E$20:$E$22,0),MATCH($O$11,$G$10:$J$10,0)))</f>
        <v>#N/A</v>
      </c>
      <c r="Q22" s="12"/>
      <c r="T22" s="20"/>
    </row>
    <row r="23" spans="1:20" ht="15.75" customHeight="1" x14ac:dyDescent="0.25">
      <c r="A23" s="239"/>
      <c r="B23" s="223">
        <v>8.5</v>
      </c>
      <c r="C23" s="492">
        <v>99</v>
      </c>
      <c r="D23" s="239"/>
      <c r="E23" s="801" t="s">
        <v>78</v>
      </c>
      <c r="F23" s="893"/>
      <c r="G23" s="893"/>
      <c r="H23" s="893"/>
      <c r="I23" s="893"/>
      <c r="J23" s="893"/>
      <c r="K23" s="239"/>
      <c r="L23" s="239"/>
      <c r="M23" s="888" t="s">
        <v>49</v>
      </c>
      <c r="N23" s="889"/>
      <c r="O23" s="19" t="s">
        <v>213</v>
      </c>
      <c r="P23" s="501">
        <v>0</v>
      </c>
      <c r="Q23" s="12"/>
      <c r="S23" s="27"/>
      <c r="T23" s="20"/>
    </row>
    <row r="24" spans="1:20" ht="15.75" customHeight="1" x14ac:dyDescent="0.25">
      <c r="A24" s="239"/>
      <c r="B24" s="223">
        <v>8.625</v>
      </c>
      <c r="C24" s="492">
        <v>99.25</v>
      </c>
      <c r="D24" s="239"/>
      <c r="E24" s="620" t="s">
        <v>906</v>
      </c>
      <c r="F24" s="621">
        <v>0</v>
      </c>
      <c r="G24" s="25">
        <v>-0.25</v>
      </c>
      <c r="H24" s="25">
        <v>-0.25</v>
      </c>
      <c r="I24" s="25">
        <v>-0.25</v>
      </c>
      <c r="J24" s="26">
        <v>-0.25</v>
      </c>
      <c r="K24" s="239"/>
      <c r="L24" s="239"/>
      <c r="M24" s="888" t="s">
        <v>50</v>
      </c>
      <c r="N24" s="889"/>
      <c r="O24" s="19" t="s">
        <v>31</v>
      </c>
      <c r="P24" s="501" t="e">
        <f>IF(OR(O24="SFR",O24="PUD"),0,IF(OR($O$11="",$O$24=""),"",INDEX($G$30:$J$31,MATCH($O$24,$E$30:$E$31,0),MATCH($O$11,$G$10:$J$10,0))))</f>
        <v>#N/A</v>
      </c>
      <c r="Q24" s="12"/>
      <c r="S24" s="27"/>
      <c r="T24" s="20"/>
    </row>
    <row r="25" spans="1:20" ht="15.75" customHeight="1" x14ac:dyDescent="0.25">
      <c r="A25" s="239"/>
      <c r="B25" s="223">
        <v>8.75</v>
      </c>
      <c r="C25" s="492">
        <v>99.5</v>
      </c>
      <c r="D25" s="239"/>
      <c r="E25" s="620" t="s">
        <v>776</v>
      </c>
      <c r="F25" s="621">
        <v>0</v>
      </c>
      <c r="G25" s="25">
        <v>0</v>
      </c>
      <c r="H25" s="25">
        <v>0</v>
      </c>
      <c r="I25" s="25">
        <v>0</v>
      </c>
      <c r="J25" s="26">
        <v>0</v>
      </c>
      <c r="K25" s="239"/>
      <c r="L25" s="239"/>
      <c r="M25" s="888" t="s">
        <v>52</v>
      </c>
      <c r="N25" s="889"/>
      <c r="O25" s="19" t="s">
        <v>53</v>
      </c>
      <c r="P25" s="501">
        <v>0</v>
      </c>
      <c r="Q25" s="12"/>
      <c r="T25" s="20"/>
    </row>
    <row r="26" spans="1:20" x14ac:dyDescent="0.25">
      <c r="A26" s="239"/>
      <c r="B26" s="223">
        <v>8.875</v>
      </c>
      <c r="C26" s="492">
        <v>99.75</v>
      </c>
      <c r="D26" s="239"/>
      <c r="E26" s="620" t="s">
        <v>907</v>
      </c>
      <c r="F26" s="621">
        <v>0</v>
      </c>
      <c r="G26" s="25">
        <v>0</v>
      </c>
      <c r="H26" s="25">
        <v>0</v>
      </c>
      <c r="I26" s="25">
        <v>0</v>
      </c>
      <c r="J26" s="26">
        <v>0</v>
      </c>
      <c r="K26" s="239"/>
      <c r="L26" s="239"/>
      <c r="M26" s="888" t="s">
        <v>55</v>
      </c>
      <c r="N26" s="889"/>
      <c r="O26" s="19" t="s">
        <v>31</v>
      </c>
      <c r="P26" s="501">
        <f>IF(O26="Escrow Waived",NA(),0)</f>
        <v>0</v>
      </c>
      <c r="Q26" s="12"/>
      <c r="T26" s="20"/>
    </row>
    <row r="27" spans="1:20" ht="15.75" customHeight="1" x14ac:dyDescent="0.25">
      <c r="A27" s="239"/>
      <c r="B27" s="223">
        <v>9</v>
      </c>
      <c r="C27" s="492">
        <v>100</v>
      </c>
      <c r="D27" s="239"/>
      <c r="E27" s="620" t="s">
        <v>908</v>
      </c>
      <c r="F27" s="621">
        <v>0</v>
      </c>
      <c r="G27" s="25">
        <v>-0.25</v>
      </c>
      <c r="H27" s="25">
        <v>-0.25</v>
      </c>
      <c r="I27" s="25">
        <v>-0.25</v>
      </c>
      <c r="J27" s="26">
        <v>-0.25</v>
      </c>
      <c r="K27" s="239"/>
      <c r="L27" s="239"/>
      <c r="M27" s="888" t="s">
        <v>58</v>
      </c>
      <c r="N27" s="889"/>
      <c r="O27" s="19"/>
      <c r="P27" s="501">
        <v>0</v>
      </c>
      <c r="Q27" s="12"/>
      <c r="R27" s="3"/>
      <c r="T27" s="20"/>
    </row>
    <row r="28" spans="1:20" ht="15.75" customHeight="1" x14ac:dyDescent="0.25">
      <c r="A28" s="239"/>
      <c r="B28" s="223">
        <v>9.125</v>
      </c>
      <c r="C28" s="492">
        <v>100.25</v>
      </c>
      <c r="D28" s="239"/>
      <c r="E28" s="625" t="s">
        <v>86</v>
      </c>
      <c r="F28" s="626">
        <v>0</v>
      </c>
      <c r="G28" s="25">
        <v>-0.25</v>
      </c>
      <c r="H28" s="25">
        <v>-0.25</v>
      </c>
      <c r="I28" s="25">
        <v>-0.25</v>
      </c>
      <c r="J28" s="26">
        <v>-0.25</v>
      </c>
      <c r="K28" s="239"/>
      <c r="L28" s="239"/>
      <c r="M28" s="888" t="s">
        <v>60</v>
      </c>
      <c r="N28" s="889"/>
      <c r="O28" s="19"/>
      <c r="P28" s="501">
        <v>0</v>
      </c>
      <c r="Q28" s="12"/>
      <c r="R28" s="3"/>
      <c r="T28" s="20"/>
    </row>
    <row r="29" spans="1:20" x14ac:dyDescent="0.25">
      <c r="A29" s="239"/>
      <c r="B29" s="223">
        <v>9.25</v>
      </c>
      <c r="C29" s="492">
        <v>100.5</v>
      </c>
      <c r="D29" s="239"/>
      <c r="E29" s="801" t="s">
        <v>50</v>
      </c>
      <c r="F29" s="893"/>
      <c r="G29" s="893"/>
      <c r="H29" s="893"/>
      <c r="I29" s="893"/>
      <c r="J29" s="893"/>
      <c r="K29" s="239"/>
      <c r="L29" s="239"/>
      <c r="M29" s="888" t="s">
        <v>62</v>
      </c>
      <c r="N29" s="889"/>
      <c r="O29" s="19" t="s">
        <v>31</v>
      </c>
      <c r="P29" s="501" t="e">
        <f>IF(O29="All Other States",0,NA())</f>
        <v>#N/A</v>
      </c>
      <c r="Q29" s="12"/>
      <c r="R29" s="28"/>
      <c r="T29" s="20"/>
    </row>
    <row r="30" spans="1:20" x14ac:dyDescent="0.25">
      <c r="A30" s="239"/>
      <c r="B30" s="223">
        <v>9.375</v>
      </c>
      <c r="C30" s="492">
        <v>100.75</v>
      </c>
      <c r="D30" s="239"/>
      <c r="E30" s="627" t="s">
        <v>913</v>
      </c>
      <c r="F30" s="628">
        <v>0</v>
      </c>
      <c r="G30" s="25">
        <v>0</v>
      </c>
      <c r="H30" s="25">
        <v>0</v>
      </c>
      <c r="I30" s="25">
        <v>0</v>
      </c>
      <c r="J30" s="26">
        <v>0</v>
      </c>
      <c r="K30" s="239"/>
      <c r="L30" s="239"/>
      <c r="M30" s="888" t="s">
        <v>64</v>
      </c>
      <c r="N30" s="889"/>
      <c r="O30" s="29" t="s">
        <v>31</v>
      </c>
      <c r="P30" s="501" t="e">
        <f>IF(OR(O30="",O11=""),NA(),IF(OR(O30="15 Day",O30="30 Day"),0,VLOOKUP(O30,$B$42:$C$43,2,FALSE)))</f>
        <v>#N/A</v>
      </c>
      <c r="Q30" s="12"/>
      <c r="T30" s="20"/>
    </row>
    <row r="31" spans="1:20" x14ac:dyDescent="0.25">
      <c r="A31" s="239"/>
      <c r="B31" s="223">
        <v>9.5</v>
      </c>
      <c r="C31" s="492">
        <v>101</v>
      </c>
      <c r="D31" s="239"/>
      <c r="E31" s="627" t="s">
        <v>909</v>
      </c>
      <c r="F31" s="628">
        <v>0</v>
      </c>
      <c r="G31" s="25">
        <v>-0.25</v>
      </c>
      <c r="H31" s="25">
        <v>-0.25</v>
      </c>
      <c r="I31" s="25">
        <v>-0.25</v>
      </c>
      <c r="J31" s="26">
        <v>-0.25</v>
      </c>
      <c r="K31" s="239"/>
      <c r="L31" s="239"/>
      <c r="M31" s="888" t="s">
        <v>66</v>
      </c>
      <c r="N31" s="889"/>
      <c r="O31" s="29" t="s">
        <v>31</v>
      </c>
      <c r="P31" s="501" cm="1">
        <f t="array" ref="P31">IF(OR(AND(OR($O$31='Feed(CoreFlex)'!$R$4:$R$5), $O$22&lt;&gt;'Feed(CoreFlex)'!$J$3),AND(OR($O$31='Feed(CoreFlex)'!$R$4:$R$5), $O$25&lt;&gt;'Feed(CoreFlex)'!$M$4),AND(OR($O$31='Feed(CoreFlex)'!$R$4:$R$5),$O$23&lt;&gt;'Feed(CoreFlex)'!$L$3:$L$4),),NA(),0)</f>
        <v>0</v>
      </c>
      <c r="Q31" s="12"/>
      <c r="T31" s="20"/>
    </row>
    <row r="32" spans="1:20" x14ac:dyDescent="0.25">
      <c r="A32" s="239"/>
      <c r="B32" s="223">
        <v>9.625</v>
      </c>
      <c r="C32" s="492">
        <v>101.25</v>
      </c>
      <c r="D32" s="239"/>
      <c r="E32" s="801" t="s">
        <v>33</v>
      </c>
      <c r="F32" s="893"/>
      <c r="G32" s="893"/>
      <c r="H32" s="893"/>
      <c r="I32" s="893"/>
      <c r="J32" s="893"/>
      <c r="K32" s="239"/>
      <c r="L32" s="239"/>
      <c r="M32" s="888" t="s">
        <v>69</v>
      </c>
      <c r="N32" s="889"/>
      <c r="O32" s="29" t="s">
        <v>31</v>
      </c>
      <c r="P32" s="501">
        <v>0</v>
      </c>
      <c r="Q32" s="12"/>
      <c r="T32" s="20"/>
    </row>
    <row r="33" spans="1:20" ht="15.75" customHeight="1" x14ac:dyDescent="0.25">
      <c r="A33" s="239"/>
      <c r="B33" s="223">
        <v>9.75</v>
      </c>
      <c r="C33" s="496">
        <v>101.5</v>
      </c>
      <c r="D33" s="239"/>
      <c r="E33" s="627" t="s">
        <v>34</v>
      </c>
      <c r="F33" s="628">
        <v>0</v>
      </c>
      <c r="G33" s="25">
        <v>0</v>
      </c>
      <c r="H33" s="25">
        <v>0</v>
      </c>
      <c r="I33" s="25">
        <v>0</v>
      </c>
      <c r="J33" s="26">
        <v>0</v>
      </c>
      <c r="K33" s="239"/>
      <c r="L33" s="239"/>
      <c r="M33" s="888" t="s">
        <v>71</v>
      </c>
      <c r="N33" s="889"/>
      <c r="O33" s="30" t="s">
        <v>31</v>
      </c>
      <c r="P33" s="501">
        <f>'Feed(CoreFlex)'!$B$46</f>
        <v>0</v>
      </c>
      <c r="Q33" s="12"/>
      <c r="T33" s="20"/>
    </row>
    <row r="34" spans="1:20" x14ac:dyDescent="0.25">
      <c r="A34" s="239"/>
      <c r="B34" s="509"/>
      <c r="C34" s="510"/>
      <c r="D34" s="239"/>
      <c r="E34" s="627" t="s">
        <v>166</v>
      </c>
      <c r="F34" s="628">
        <v>0</v>
      </c>
      <c r="G34" s="25">
        <v>-0.5</v>
      </c>
      <c r="H34" s="25">
        <v>-0.5</v>
      </c>
      <c r="I34" s="25">
        <v>-0.5</v>
      </c>
      <c r="J34" s="26" t="e">
        <v>#N/A</v>
      </c>
      <c r="K34" s="239"/>
      <c r="L34" s="239"/>
      <c r="M34" s="888" t="s">
        <v>769</v>
      </c>
      <c r="N34" s="889"/>
      <c r="O34" s="29" t="s">
        <v>766</v>
      </c>
      <c r="P34" s="501">
        <f>IF(O34="Tier 1 States",J42,IF(O34="Tier 2 States",J44,IF(O34="Tier 3 States",J46,"0.000")))</f>
        <v>0</v>
      </c>
      <c r="Q34" s="12"/>
    </row>
    <row r="35" spans="1:20" ht="15.75" customHeight="1" x14ac:dyDescent="0.25">
      <c r="A35" s="239"/>
      <c r="B35" s="511"/>
      <c r="C35" s="512"/>
      <c r="D35" s="239"/>
      <c r="E35" s="801" t="s">
        <v>143</v>
      </c>
      <c r="F35" s="893"/>
      <c r="G35" s="893"/>
      <c r="H35" s="893"/>
      <c r="I35" s="893"/>
      <c r="J35" s="893"/>
      <c r="K35" s="239"/>
      <c r="L35" s="239"/>
      <c r="M35" s="888" t="str">
        <f>IF('Feed(WS)'!Z1=0,"",INDEX('Feed(WS)'!$AA$1:$AA$3,MATCH('Feed(WS)'!Z1,'Feed(WS)'!$Z$1:$Z$3,0)))</f>
        <v xml:space="preserve">Special </v>
      </c>
      <c r="N35" s="889"/>
      <c r="O35" s="30" t="str">
        <f>IF(P35=FALSE,"Not Applicable","Yes")</f>
        <v>Not Applicable</v>
      </c>
      <c r="P35" s="501" t="b">
        <f>'Feed(CoreFlex)'!$A$20</f>
        <v>0</v>
      </c>
      <c r="Q35" s="12"/>
    </row>
    <row r="36" spans="1:20" x14ac:dyDescent="0.25">
      <c r="A36" s="239"/>
      <c r="B36" s="511"/>
      <c r="C36" s="512"/>
      <c r="D36" s="239"/>
      <c r="E36" s="620" t="s">
        <v>904</v>
      </c>
      <c r="F36" s="621">
        <v>0</v>
      </c>
      <c r="G36" s="25">
        <v>-0.25</v>
      </c>
      <c r="H36" s="25">
        <v>-0.25</v>
      </c>
      <c r="I36" s="25">
        <v>-0.25</v>
      </c>
      <c r="J36" s="26">
        <v>-0.25</v>
      </c>
      <c r="K36" s="239"/>
      <c r="L36" s="239"/>
      <c r="M36" s="822" t="s">
        <v>77</v>
      </c>
      <c r="N36" s="823"/>
      <c r="O36" s="824"/>
      <c r="P36" s="442" t="e">
        <f>SUM($P$12:$P$35)</f>
        <v>#N/A</v>
      </c>
      <c r="Q36" s="12"/>
    </row>
    <row r="37" spans="1:20" ht="15.75" customHeight="1" x14ac:dyDescent="0.25">
      <c r="A37" s="239"/>
      <c r="B37" s="223"/>
      <c r="C37" s="513"/>
      <c r="D37" s="239"/>
      <c r="E37" s="675" t="s">
        <v>905</v>
      </c>
      <c r="F37" s="676">
        <v>0</v>
      </c>
      <c r="G37" s="61">
        <v>-0.25</v>
      </c>
      <c r="H37" s="61">
        <v>-0.25</v>
      </c>
      <c r="I37" s="61">
        <v>-0.25</v>
      </c>
      <c r="J37" s="62">
        <v>-0.25</v>
      </c>
      <c r="K37" s="239"/>
      <c r="L37" s="239"/>
      <c r="M37" s="822" t="s">
        <v>79</v>
      </c>
      <c r="N37" s="823"/>
      <c r="O37" s="824"/>
      <c r="P37" s="442" t="str">
        <f>IFERROR(INDEX(C10:C37,MATCH(O10,B10:B37,0),MATCH(O17,C10:C10,0)),"#N/A")</f>
        <v>#N/A</v>
      </c>
      <c r="Q37" s="12"/>
      <c r="S37" s="28"/>
    </row>
    <row r="38" spans="1:20" ht="15.75" customHeight="1" x14ac:dyDescent="0.25">
      <c r="A38" s="239"/>
      <c r="B38" s="514"/>
      <c r="C38" s="514"/>
      <c r="D38" s="239"/>
      <c r="E38" s="515"/>
      <c r="F38" s="514"/>
      <c r="G38" s="514"/>
      <c r="H38" s="514"/>
      <c r="I38" s="514"/>
      <c r="J38" s="516"/>
      <c r="K38" s="239"/>
      <c r="L38" s="239"/>
      <c r="M38" s="822" t="s">
        <v>81</v>
      </c>
      <c r="N38" s="823"/>
      <c r="O38" s="824"/>
      <c r="P38" s="442" t="e">
        <f>IFERROR(P37+P36,NA())</f>
        <v>#N/A</v>
      </c>
      <c r="Q38" s="12"/>
    </row>
    <row r="39" spans="1:20" x14ac:dyDescent="0.25">
      <c r="A39" s="239"/>
      <c r="B39" s="517"/>
      <c r="C39" s="517"/>
      <c r="D39" s="239"/>
      <c r="E39" s="311"/>
      <c r="F39" s="311"/>
      <c r="G39" s="311"/>
      <c r="H39" s="311"/>
      <c r="I39" s="311"/>
      <c r="J39" s="311"/>
      <c r="K39" s="239"/>
      <c r="L39" s="239"/>
      <c r="M39" s="822" t="s">
        <v>83</v>
      </c>
      <c r="N39" s="823"/>
      <c r="O39" s="824"/>
      <c r="P39" s="442">
        <f>IF(OR('Feed(CoreFlex)'!$E$126=0,ISERROR('Feed(CoreFlex)'!$E$126)),NA(),'Feed(CoreFlex)'!$E$126)</f>
        <v>99</v>
      </c>
      <c r="Q39" s="12"/>
    </row>
    <row r="40" spans="1:20" ht="14.25" customHeight="1" x14ac:dyDescent="0.25">
      <c r="A40" s="239"/>
      <c r="B40" s="310"/>
      <c r="C40" s="310"/>
      <c r="D40" s="239"/>
      <c r="E40" s="894" t="s">
        <v>897</v>
      </c>
      <c r="F40" s="895"/>
      <c r="G40" s="895"/>
      <c r="H40" s="895"/>
      <c r="I40" s="895"/>
      <c r="J40" s="896"/>
      <c r="K40" s="239"/>
      <c r="L40" s="239"/>
      <c r="M40" s="829" t="s">
        <v>85</v>
      </c>
      <c r="N40" s="830"/>
      <c r="O40" s="860"/>
      <c r="P40" s="234" t="e">
        <f>IF(OR($P$36="#NA",$P$37="#NA"),NA(),IF($O$10&lt;&gt;'Feed(CoreFlex)'!$K$113,"Max Price "&amp;B46&amp;" @ "&amp;O10,IF($P$38&gt;$P$39,$P$39,$P$38)))</f>
        <v>#N/A</v>
      </c>
      <c r="Q40" s="12"/>
    </row>
    <row r="41" spans="1:20" ht="14.25" customHeight="1" thickBot="1" x14ac:dyDescent="0.3">
      <c r="A41" s="239"/>
      <c r="B41" s="214" t="s">
        <v>64</v>
      </c>
      <c r="C41" s="214" t="s">
        <v>101</v>
      </c>
      <c r="D41" s="239"/>
      <c r="E41" s="801" t="s">
        <v>898</v>
      </c>
      <c r="F41" s="893"/>
      <c r="G41" s="893"/>
      <c r="H41" s="893"/>
      <c r="I41" s="893"/>
      <c r="J41" s="893"/>
      <c r="K41" s="239"/>
      <c r="L41" s="239"/>
      <c r="M41" s="897" t="str" cm="1">
        <f t="array" ref="M41">IF(OR($O$11:$O$25="Choose a Selection"),"",CONCATENATE('Feed(WS)'!$I$134," ",'Feed(WS)'!$K$134,"%"&amp;" @ "&amp;'Feed(WS)'!$L$134))</f>
        <v/>
      </c>
      <c r="N41" s="898"/>
      <c r="O41" s="898"/>
      <c r="P41" s="899"/>
      <c r="Q41" s="12"/>
    </row>
    <row r="42" spans="1:20" ht="13.5" customHeight="1" thickBot="1" x14ac:dyDescent="0.3">
      <c r="A42" s="239"/>
      <c r="B42" s="36" t="s">
        <v>106</v>
      </c>
      <c r="C42" s="37">
        <v>-0.25</v>
      </c>
      <c r="D42" s="239"/>
      <c r="E42" s="782" t="s">
        <v>766</v>
      </c>
      <c r="F42" s="903" t="s">
        <v>937</v>
      </c>
      <c r="G42" s="904"/>
      <c r="H42" s="904"/>
      <c r="I42" s="905"/>
      <c r="J42" s="906">
        <v>0</v>
      </c>
      <c r="K42" s="239"/>
      <c r="L42" s="239"/>
      <c r="M42" s="900" t="s">
        <v>759</v>
      </c>
      <c r="N42" s="907"/>
      <c r="O42" s="907"/>
      <c r="P42" s="901"/>
      <c r="Q42" s="12"/>
    </row>
    <row r="43" spans="1:20" ht="13.5" customHeight="1" thickBot="1" x14ac:dyDescent="0.3">
      <c r="A43" s="239"/>
      <c r="B43" s="36" t="s">
        <v>111</v>
      </c>
      <c r="C43" s="37">
        <v>-0.5</v>
      </c>
      <c r="D43" s="239"/>
      <c r="E43" s="652"/>
      <c r="F43" s="682"/>
      <c r="G43" s="683"/>
      <c r="H43" s="683"/>
      <c r="I43" s="684"/>
      <c r="J43" s="686"/>
      <c r="K43" s="239"/>
      <c r="L43" s="239"/>
      <c r="M43" s="900" t="s">
        <v>760</v>
      </c>
      <c r="N43" s="901"/>
      <c r="O43" s="908">
        <v>500000</v>
      </c>
      <c r="P43" s="909"/>
      <c r="Q43" s="12"/>
    </row>
    <row r="44" spans="1:20" ht="13.5" customHeight="1" thickBot="1" x14ac:dyDescent="0.3">
      <c r="A44" s="239"/>
      <c r="B44" s="310"/>
      <c r="C44" s="310"/>
      <c r="D44" s="239"/>
      <c r="E44" s="652" t="s">
        <v>767</v>
      </c>
      <c r="F44" s="679" t="s">
        <v>779</v>
      </c>
      <c r="G44" s="680"/>
      <c r="H44" s="680"/>
      <c r="I44" s="681"/>
      <c r="J44" s="685">
        <v>0.15</v>
      </c>
      <c r="K44" s="239"/>
      <c r="L44" s="239"/>
      <c r="M44" s="900" t="s">
        <v>761</v>
      </c>
      <c r="N44" s="901"/>
      <c r="O44" s="518">
        <v>2.25</v>
      </c>
      <c r="P44" s="519">
        <f>O44/100*O43</f>
        <v>11250</v>
      </c>
      <c r="Q44" s="12"/>
    </row>
    <row r="45" spans="1:20" ht="13.5" customHeight="1" thickBot="1" x14ac:dyDescent="0.3">
      <c r="A45" s="239"/>
      <c r="B45" s="855" t="s">
        <v>103</v>
      </c>
      <c r="C45" s="902"/>
      <c r="D45" s="239"/>
      <c r="E45" s="652"/>
      <c r="F45" s="682"/>
      <c r="G45" s="683"/>
      <c r="H45" s="683"/>
      <c r="I45" s="684"/>
      <c r="J45" s="686"/>
      <c r="K45" s="239"/>
      <c r="L45" s="239"/>
      <c r="M45" s="900" t="s">
        <v>762</v>
      </c>
      <c r="N45" s="901"/>
      <c r="O45" s="520"/>
      <c r="P45" s="521">
        <f>O45/O43*100</f>
        <v>0</v>
      </c>
      <c r="Q45" s="12"/>
    </row>
    <row r="46" spans="1:20" ht="13.5" customHeight="1" thickBot="1" x14ac:dyDescent="0.3">
      <c r="A46" s="239"/>
      <c r="B46" s="910">
        <v>99</v>
      </c>
      <c r="C46" s="911"/>
      <c r="D46" s="239"/>
      <c r="E46" s="652" t="s">
        <v>768</v>
      </c>
      <c r="F46" s="687" t="s">
        <v>938</v>
      </c>
      <c r="G46" s="688"/>
      <c r="H46" s="688"/>
      <c r="I46" s="689"/>
      <c r="J46" s="685">
        <v>0.25</v>
      </c>
      <c r="K46" s="239"/>
      <c r="L46" s="239"/>
      <c r="M46" s="900" t="s">
        <v>763</v>
      </c>
      <c r="N46" s="901"/>
      <c r="O46" s="616">
        <f>O44+P45</f>
        <v>2.25</v>
      </c>
      <c r="P46" s="617"/>
      <c r="Q46" s="12"/>
    </row>
    <row r="47" spans="1:20" ht="13.5" customHeight="1" thickBot="1" x14ac:dyDescent="0.3">
      <c r="A47" s="239"/>
      <c r="B47" s="876" t="s">
        <v>104</v>
      </c>
      <c r="C47" s="645"/>
      <c r="D47" s="239"/>
      <c r="E47" s="780"/>
      <c r="F47" s="912"/>
      <c r="G47" s="913"/>
      <c r="H47" s="913"/>
      <c r="I47" s="914"/>
      <c r="J47" s="906"/>
      <c r="K47" s="239"/>
      <c r="L47" s="239"/>
      <c r="M47" s="915" t="s">
        <v>764</v>
      </c>
      <c r="N47" s="916"/>
      <c r="O47" s="917" t="e">
        <f>P40-O46</f>
        <v>#N/A</v>
      </c>
      <c r="P47" s="918"/>
      <c r="Q47" s="12"/>
    </row>
    <row r="48" spans="1:20" x14ac:dyDescent="0.25">
      <c r="A48" s="239"/>
      <c r="B48" s="910" t="s">
        <v>899</v>
      </c>
      <c r="C48" s="911"/>
      <c r="D48" s="239"/>
      <c r="E48" s="801" t="s">
        <v>115</v>
      </c>
      <c r="F48" s="893"/>
      <c r="G48" s="893"/>
      <c r="H48" s="893"/>
      <c r="I48" s="893"/>
      <c r="J48" s="893"/>
      <c r="K48" s="239"/>
      <c r="L48" s="239"/>
      <c r="M48" s="690" t="s">
        <v>939</v>
      </c>
      <c r="N48" s="691"/>
      <c r="O48" s="691"/>
      <c r="P48" s="692"/>
      <c r="Q48" s="12"/>
    </row>
    <row r="49" spans="1:21" ht="15.75" customHeight="1" x14ac:dyDescent="0.25">
      <c r="A49" s="239"/>
      <c r="B49" s="876" t="s">
        <v>153</v>
      </c>
      <c r="C49" s="645"/>
      <c r="D49" s="239"/>
      <c r="E49" s="696" t="s">
        <v>120</v>
      </c>
      <c r="F49" s="697"/>
      <c r="G49" s="697"/>
      <c r="H49" s="697"/>
      <c r="I49" s="697"/>
      <c r="J49" s="698"/>
      <c r="K49" s="239"/>
      <c r="L49" s="239"/>
      <c r="M49" s="693"/>
      <c r="N49" s="694"/>
      <c r="O49" s="694"/>
      <c r="P49" s="695"/>
      <c r="Q49" s="12"/>
    </row>
    <row r="50" spans="1:21" x14ac:dyDescent="0.25">
      <c r="A50" s="239"/>
      <c r="B50" s="702" t="s">
        <v>156</v>
      </c>
      <c r="C50" s="703"/>
      <c r="D50" s="239"/>
      <c r="E50" s="696"/>
      <c r="F50" s="697"/>
      <c r="G50" s="697"/>
      <c r="H50" s="697"/>
      <c r="I50" s="697"/>
      <c r="J50" s="698"/>
      <c r="K50" s="239"/>
      <c r="L50" s="239"/>
      <c r="M50" s="922"/>
      <c r="N50" s="923"/>
      <c r="O50" s="923"/>
      <c r="P50" s="924"/>
      <c r="Q50" s="31"/>
    </row>
    <row r="51" spans="1:21" ht="13.5" customHeight="1" x14ac:dyDescent="0.25">
      <c r="A51" s="240"/>
      <c r="B51" s="522"/>
      <c r="C51" s="523"/>
      <c r="D51" s="240"/>
      <c r="E51" s="696"/>
      <c r="F51" s="697"/>
      <c r="G51" s="697"/>
      <c r="H51" s="697"/>
      <c r="I51" s="697"/>
      <c r="J51" s="698"/>
      <c r="K51" s="240"/>
      <c r="L51" s="240"/>
      <c r="M51" s="704" t="s">
        <v>940</v>
      </c>
      <c r="N51" s="705"/>
      <c r="O51" s="705"/>
      <c r="P51" s="706"/>
      <c r="Q51" s="33"/>
    </row>
    <row r="52" spans="1:21" x14ac:dyDescent="0.25">
      <c r="A52" s="239"/>
      <c r="B52" s="522"/>
      <c r="C52" s="523"/>
      <c r="D52" s="239"/>
      <c r="E52" s="696"/>
      <c r="F52" s="697"/>
      <c r="G52" s="697"/>
      <c r="H52" s="697"/>
      <c r="I52" s="697"/>
      <c r="J52" s="698"/>
      <c r="K52" s="239"/>
      <c r="L52" s="239"/>
      <c r="M52" s="922"/>
      <c r="N52" s="923"/>
      <c r="O52" s="923"/>
      <c r="P52" s="924"/>
      <c r="Q52" s="33"/>
    </row>
    <row r="53" spans="1:21" ht="15.75" customHeight="1" x14ac:dyDescent="0.25">
      <c r="A53" s="239"/>
      <c r="B53" s="522"/>
      <c r="C53" s="523"/>
      <c r="D53" s="239"/>
      <c r="E53" s="696"/>
      <c r="F53" s="697"/>
      <c r="G53" s="697"/>
      <c r="H53" s="697"/>
      <c r="I53" s="697"/>
      <c r="J53" s="698"/>
      <c r="K53" s="239"/>
      <c r="L53" s="239"/>
      <c r="M53" s="524"/>
      <c r="N53" s="525"/>
      <c r="O53" s="525"/>
      <c r="P53" s="526"/>
      <c r="Q53" s="33"/>
      <c r="R53" s="497"/>
      <c r="S53" s="497"/>
      <c r="T53" s="497"/>
      <c r="U53" s="497"/>
    </row>
    <row r="54" spans="1:21" ht="15" customHeight="1" x14ac:dyDescent="0.25">
      <c r="A54" s="239"/>
      <c r="B54" s="522"/>
      <c r="C54" s="523"/>
      <c r="D54" s="239"/>
      <c r="E54" s="696"/>
      <c r="F54" s="697"/>
      <c r="G54" s="697"/>
      <c r="H54" s="697"/>
      <c r="I54" s="697"/>
      <c r="J54" s="698"/>
      <c r="K54" s="239"/>
      <c r="L54" s="239"/>
      <c r="M54" s="522"/>
      <c r="N54" s="527"/>
      <c r="O54" s="527"/>
      <c r="P54" s="523"/>
      <c r="Q54" s="33"/>
    </row>
    <row r="55" spans="1:21" ht="15.75" thickBot="1" x14ac:dyDescent="0.3">
      <c r="A55" s="239"/>
      <c r="B55" s="522"/>
      <c r="C55" s="523"/>
      <c r="D55" s="239"/>
      <c r="E55" s="699"/>
      <c r="F55" s="700"/>
      <c r="G55" s="700"/>
      <c r="H55" s="700"/>
      <c r="I55" s="700"/>
      <c r="J55" s="701"/>
      <c r="K55" s="239"/>
      <c r="L55" s="239"/>
      <c r="M55" s="524"/>
      <c r="N55" s="525"/>
      <c r="O55" s="525"/>
      <c r="P55" s="526"/>
      <c r="Q55" s="33"/>
    </row>
    <row r="56" spans="1:21" x14ac:dyDescent="0.25">
      <c r="A56" s="239"/>
      <c r="B56" s="522"/>
      <c r="C56" s="523"/>
      <c r="D56" s="239"/>
      <c r="E56" s="895"/>
      <c r="F56" s="895"/>
      <c r="G56" s="895"/>
      <c r="H56" s="895"/>
      <c r="I56" s="525"/>
      <c r="J56" s="525"/>
      <c r="K56" s="239"/>
      <c r="L56" s="239"/>
      <c r="M56" s="894"/>
      <c r="N56" s="895"/>
      <c r="O56" s="895"/>
      <c r="P56" s="896"/>
      <c r="Q56" s="33"/>
    </row>
    <row r="57" spans="1:21" ht="15.75" thickBot="1" x14ac:dyDescent="0.3">
      <c r="A57" s="239"/>
      <c r="B57" s="528"/>
      <c r="C57" s="529"/>
      <c r="D57" s="239"/>
      <c r="E57" s="895"/>
      <c r="F57" s="895"/>
      <c r="G57" s="895"/>
      <c r="H57" s="895"/>
      <c r="I57" s="525"/>
      <c r="J57" s="525"/>
      <c r="K57" s="239"/>
      <c r="L57" s="239"/>
      <c r="M57" s="919"/>
      <c r="N57" s="920"/>
      <c r="O57" s="920"/>
      <c r="P57" s="921"/>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tSoAvV4sOzKxJp2dHkUjZS/K9cCJWTvV68/c2mEAY+tzUjm1SumzFdHHGqOUJIEMoQCRm3tiW+NWB/Q3faTNHg==" saltValue="DPLaG1HVW4bSRXJ4K6Y0Aw==" spinCount="100000" sheet="1" objects="1" scenarios="1"/>
  <mergeCells count="102">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E44:E45"/>
    <mergeCell ref="F44:I45"/>
    <mergeCell ref="J44:J45"/>
    <mergeCell ref="M44:N44"/>
    <mergeCell ref="B45:C45"/>
    <mergeCell ref="M45:N45"/>
    <mergeCell ref="E42:E43"/>
    <mergeCell ref="F42:I43"/>
    <mergeCell ref="J42:J43"/>
    <mergeCell ref="M42:P42"/>
    <mergeCell ref="M43:N43"/>
    <mergeCell ref="O43:P43"/>
    <mergeCell ref="M38:O38"/>
    <mergeCell ref="M39:O39"/>
    <mergeCell ref="E40:J40"/>
    <mergeCell ref="M40:O40"/>
    <mergeCell ref="E41:J41"/>
    <mergeCell ref="M41:P41"/>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M17:N17"/>
    <mergeCell ref="M18:N18"/>
    <mergeCell ref="E19:J19"/>
    <mergeCell ref="M19:N19"/>
    <mergeCell ref="E14:F14"/>
    <mergeCell ref="M14:N14"/>
    <mergeCell ref="E15:F15"/>
    <mergeCell ref="M15:N15"/>
    <mergeCell ref="E10:F10"/>
    <mergeCell ref="M10:N10"/>
    <mergeCell ref="E11:F11"/>
    <mergeCell ref="M11:N11"/>
    <mergeCell ref="E12:F12"/>
    <mergeCell ref="M12:N12"/>
    <mergeCell ref="B6:C7"/>
    <mergeCell ref="E6:J7"/>
    <mergeCell ref="M6:P7"/>
    <mergeCell ref="B9:C9"/>
    <mergeCell ref="E9:J9"/>
    <mergeCell ref="L1:M1"/>
    <mergeCell ref="L2:M2"/>
    <mergeCell ref="L3:M3"/>
    <mergeCell ref="E13:F13"/>
    <mergeCell ref="M13:N13"/>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33">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3" t="s">
        <v>647</v>
      </c>
      <c r="O1" s="633"/>
      <c r="P1" s="633"/>
      <c r="Q1" s="2"/>
      <c r="R1" s="634"/>
      <c r="S1" s="634"/>
      <c r="T1" s="2"/>
      <c r="U1" s="2"/>
      <c r="V1" s="3"/>
    </row>
    <row r="2" spans="1:25" ht="17.45" customHeight="1" x14ac:dyDescent="0.25">
      <c r="N2" s="635" t="s">
        <v>1</v>
      </c>
      <c r="O2" s="635"/>
      <c r="P2" s="635"/>
      <c r="Q2" s="4"/>
      <c r="R2" s="636"/>
      <c r="S2" s="636"/>
      <c r="T2" s="2"/>
      <c r="U2" s="2"/>
      <c r="V2" s="3"/>
    </row>
    <row r="3" spans="1:25" ht="17.45" customHeight="1" x14ac:dyDescent="0.25">
      <c r="N3" s="635" t="s">
        <v>2</v>
      </c>
      <c r="O3" s="635"/>
      <c r="P3" s="635"/>
      <c r="Q3" s="4"/>
      <c r="R3" s="636"/>
      <c r="S3" s="636"/>
      <c r="T3" s="4"/>
      <c r="U3" s="4"/>
    </row>
    <row r="4" spans="1:25" ht="17.45" customHeight="1" x14ac:dyDescent="0.25">
      <c r="F4" s="5"/>
      <c r="M4" s="6"/>
      <c r="N4" s="7"/>
      <c r="O4" s="7"/>
      <c r="P4" s="7"/>
      <c r="Q4" s="8"/>
      <c r="R4" s="4"/>
      <c r="S4" s="4"/>
      <c r="T4" s="4"/>
      <c r="U4" s="4"/>
    </row>
    <row r="5" spans="1:25" ht="17.45" customHeight="1" thickBot="1" x14ac:dyDescent="0.3">
      <c r="L5" s="9"/>
      <c r="M5" s="637" t="s">
        <v>3</v>
      </c>
      <c r="N5" s="637"/>
      <c r="O5" s="638">
        <v>45869</v>
      </c>
      <c r="P5" s="638"/>
      <c r="Q5" s="8"/>
      <c r="T5" s="3"/>
      <c r="U5" s="3"/>
    </row>
    <row r="6" spans="1:25" ht="17.45" customHeight="1" x14ac:dyDescent="0.25">
      <c r="A6" s="239"/>
      <c r="B6" s="968" t="s">
        <v>4</v>
      </c>
      <c r="C6" s="969"/>
      <c r="D6" s="241"/>
      <c r="E6" s="242"/>
      <c r="F6" s="972" t="s">
        <v>648</v>
      </c>
      <c r="G6" s="973"/>
      <c r="H6" s="973"/>
      <c r="I6" s="973"/>
      <c r="J6" s="973"/>
      <c r="K6" s="973"/>
      <c r="L6" s="973"/>
      <c r="M6" s="973"/>
      <c r="N6" s="973"/>
      <c r="O6" s="973"/>
      <c r="P6" s="974"/>
      <c r="Q6" s="241"/>
      <c r="R6" s="240"/>
      <c r="S6" s="972" t="s">
        <v>5</v>
      </c>
      <c r="T6" s="973"/>
      <c r="U6" s="973"/>
      <c r="V6" s="974"/>
      <c r="W6" s="240"/>
    </row>
    <row r="7" spans="1:25" ht="17.45" customHeight="1" thickBot="1" x14ac:dyDescent="0.3">
      <c r="A7" s="239"/>
      <c r="B7" s="970"/>
      <c r="C7" s="971"/>
      <c r="D7" s="241"/>
      <c r="E7" s="242"/>
      <c r="F7" s="975"/>
      <c r="G7" s="976"/>
      <c r="H7" s="976"/>
      <c r="I7" s="976"/>
      <c r="J7" s="976"/>
      <c r="K7" s="976"/>
      <c r="L7" s="976"/>
      <c r="M7" s="976"/>
      <c r="N7" s="976"/>
      <c r="O7" s="976"/>
      <c r="P7" s="977"/>
      <c r="Q7" s="241"/>
      <c r="R7" s="240"/>
      <c r="S7" s="978"/>
      <c r="T7" s="979"/>
      <c r="U7" s="979"/>
      <c r="V7" s="980"/>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81" t="s">
        <v>6</v>
      </c>
      <c r="C9" s="982"/>
      <c r="D9" s="243"/>
      <c r="E9" s="240"/>
      <c r="F9" s="983" t="s">
        <v>7</v>
      </c>
      <c r="G9" s="984"/>
      <c r="H9" s="984"/>
      <c r="I9" s="984"/>
      <c r="J9" s="984"/>
      <c r="K9" s="984"/>
      <c r="L9" s="984"/>
      <c r="M9" s="984"/>
      <c r="N9" s="984"/>
      <c r="O9" s="984"/>
      <c r="P9" s="985"/>
      <c r="Q9" s="260"/>
      <c r="R9" s="240"/>
      <c r="S9" s="272"/>
      <c r="T9" s="273"/>
      <c r="U9" s="274" t="s">
        <v>8</v>
      </c>
      <c r="V9" s="275"/>
      <c r="W9" s="240"/>
    </row>
    <row r="10" spans="1:25" ht="15.75" customHeight="1" x14ac:dyDescent="0.25">
      <c r="A10" s="239"/>
      <c r="B10" s="276" t="s">
        <v>9</v>
      </c>
      <c r="C10" s="278" t="s">
        <v>10</v>
      </c>
      <c r="D10" s="239"/>
      <c r="E10" s="240"/>
      <c r="F10" s="868" t="s">
        <v>11</v>
      </c>
      <c r="G10" s="869"/>
      <c r="H10" s="277" t="s">
        <v>12</v>
      </c>
      <c r="I10" s="277" t="s">
        <v>13</v>
      </c>
      <c r="J10" s="277" t="s">
        <v>14</v>
      </c>
      <c r="K10" s="277" t="s">
        <v>15</v>
      </c>
      <c r="L10" s="277" t="s">
        <v>16</v>
      </c>
      <c r="M10" s="277" t="s">
        <v>17</v>
      </c>
      <c r="N10" s="277" t="s">
        <v>18</v>
      </c>
      <c r="O10" s="277" t="s">
        <v>19</v>
      </c>
      <c r="P10" s="278" t="s">
        <v>20</v>
      </c>
      <c r="Q10" s="261"/>
      <c r="R10" s="240"/>
      <c r="S10" s="839" t="s">
        <v>21</v>
      </c>
      <c r="T10" s="840"/>
      <c r="U10" s="16" t="s">
        <v>31</v>
      </c>
      <c r="V10" s="232"/>
      <c r="W10" s="240"/>
    </row>
    <row r="11" spans="1:25" ht="14.25" customHeight="1" x14ac:dyDescent="0.25">
      <c r="A11" s="239"/>
      <c r="B11" s="279">
        <v>6.25</v>
      </c>
      <c r="C11" s="419">
        <v>98.688000000000002</v>
      </c>
      <c r="D11" s="244"/>
      <c r="E11" s="240"/>
      <c r="F11" s="835" t="s">
        <v>22</v>
      </c>
      <c r="G11" s="836">
        <v>0</v>
      </c>
      <c r="H11" s="17">
        <v>0.625</v>
      </c>
      <c r="I11" s="17">
        <v>0.5</v>
      </c>
      <c r="J11" s="17">
        <v>0.5</v>
      </c>
      <c r="K11" s="17">
        <v>0.5</v>
      </c>
      <c r="L11" s="17">
        <v>0.375</v>
      </c>
      <c r="M11" s="17">
        <v>0.125</v>
      </c>
      <c r="N11" s="17">
        <v>-0.125</v>
      </c>
      <c r="O11" s="17">
        <v>-1.75</v>
      </c>
      <c r="P11" s="18">
        <v>-3.25</v>
      </c>
      <c r="Q11" s="262"/>
      <c r="R11" s="240"/>
      <c r="S11" s="820" t="s">
        <v>23</v>
      </c>
      <c r="T11" s="821"/>
      <c r="U11" s="19" t="s">
        <v>31</v>
      </c>
      <c r="V11" s="232"/>
      <c r="W11" s="240"/>
      <c r="X11" s="20"/>
      <c r="Y11" s="20"/>
    </row>
    <row r="12" spans="1:25" x14ac:dyDescent="0.25">
      <c r="A12" s="239"/>
      <c r="B12" s="279">
        <v>6.375</v>
      </c>
      <c r="C12" s="419">
        <v>99.188000000000002</v>
      </c>
      <c r="D12" s="244"/>
      <c r="E12" s="240"/>
      <c r="F12" s="835" t="s">
        <v>24</v>
      </c>
      <c r="G12" s="836">
        <v>0</v>
      </c>
      <c r="H12" s="21">
        <v>0.5</v>
      </c>
      <c r="I12" s="21">
        <v>0.5</v>
      </c>
      <c r="J12" s="17">
        <v>0.5</v>
      </c>
      <c r="K12" s="21">
        <v>0.375</v>
      </c>
      <c r="L12" s="21">
        <v>0.25</v>
      </c>
      <c r="M12" s="21">
        <v>0</v>
      </c>
      <c r="N12" s="21">
        <v>-0.375</v>
      </c>
      <c r="O12" s="21">
        <v>-2</v>
      </c>
      <c r="P12" s="22">
        <v>-3.5</v>
      </c>
      <c r="Q12" s="262"/>
      <c r="R12" s="240"/>
      <c r="S12" s="820" t="s">
        <v>25</v>
      </c>
      <c r="T12" s="821"/>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835" t="s">
        <v>26</v>
      </c>
      <c r="G13" s="836">
        <v>0</v>
      </c>
      <c r="H13" s="21">
        <v>0.5</v>
      </c>
      <c r="I13" s="21">
        <v>0.375</v>
      </c>
      <c r="J13" s="17">
        <v>0.375</v>
      </c>
      <c r="K13" s="21">
        <v>0.25</v>
      </c>
      <c r="L13" s="21">
        <v>0</v>
      </c>
      <c r="M13" s="21">
        <v>-0.375</v>
      </c>
      <c r="N13" s="21">
        <v>-0.5</v>
      </c>
      <c r="O13" s="21">
        <v>-2.25</v>
      </c>
      <c r="P13" s="22">
        <v>-3.75</v>
      </c>
      <c r="Q13" s="262"/>
      <c r="R13" s="240"/>
      <c r="S13" s="820" t="s">
        <v>27</v>
      </c>
      <c r="T13" s="821"/>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835" t="s">
        <v>29</v>
      </c>
      <c r="G14" s="836">
        <v>0</v>
      </c>
      <c r="H14" s="21">
        <v>0.375</v>
      </c>
      <c r="I14" s="21">
        <v>0.25</v>
      </c>
      <c r="J14" s="17">
        <v>0.25</v>
      </c>
      <c r="K14" s="21">
        <v>0</v>
      </c>
      <c r="L14" s="21">
        <v>-0.375</v>
      </c>
      <c r="M14" s="21">
        <v>-0.5</v>
      </c>
      <c r="N14" s="21">
        <v>-1</v>
      </c>
      <c r="O14" s="21">
        <v>-2.75</v>
      </c>
      <c r="P14" s="22">
        <v>-4.25</v>
      </c>
      <c r="Q14" s="262"/>
      <c r="R14" s="240"/>
      <c r="S14" s="820" t="s">
        <v>30</v>
      </c>
      <c r="T14" s="821"/>
      <c r="U14" s="19" t="s">
        <v>31</v>
      </c>
      <c r="V14" s="232">
        <f>'Feed(WS)'!$O$168</f>
        <v>0</v>
      </c>
      <c r="W14" s="240"/>
      <c r="X14" s="20"/>
      <c r="Y14" s="20"/>
    </row>
    <row r="15" spans="1:25" x14ac:dyDescent="0.25">
      <c r="A15" s="239"/>
      <c r="B15" s="222">
        <v>6.75</v>
      </c>
      <c r="C15" s="23">
        <v>100.414</v>
      </c>
      <c r="D15" s="245"/>
      <c r="E15" s="240"/>
      <c r="F15" s="835" t="s">
        <v>32</v>
      </c>
      <c r="G15" s="836">
        <v>0</v>
      </c>
      <c r="H15" s="21">
        <v>0.25</v>
      </c>
      <c r="I15" s="21">
        <v>0</v>
      </c>
      <c r="J15" s="17">
        <v>0</v>
      </c>
      <c r="K15" s="21">
        <v>-0.375</v>
      </c>
      <c r="L15" s="21">
        <v>-0.5</v>
      </c>
      <c r="M15" s="21">
        <v>-1</v>
      </c>
      <c r="N15" s="21">
        <v>-1.5</v>
      </c>
      <c r="O15" s="21">
        <v>-3.5</v>
      </c>
      <c r="P15" s="22">
        <v>-5</v>
      </c>
      <c r="Q15" s="262"/>
      <c r="R15" s="240"/>
      <c r="S15" s="820" t="s">
        <v>33</v>
      </c>
      <c r="T15" s="821"/>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835" t="s">
        <v>35</v>
      </c>
      <c r="G16" s="836">
        <v>0</v>
      </c>
      <c r="H16" s="21">
        <v>0</v>
      </c>
      <c r="I16" s="21">
        <v>-0.375</v>
      </c>
      <c r="J16" s="17">
        <v>-0.375</v>
      </c>
      <c r="K16" s="21">
        <v>-0.5</v>
      </c>
      <c r="L16" s="21">
        <v>-1</v>
      </c>
      <c r="M16" s="21">
        <v>-1.5</v>
      </c>
      <c r="N16" s="21">
        <v>-2.5</v>
      </c>
      <c r="O16" s="21">
        <v>-4.5</v>
      </c>
      <c r="P16" s="224" t="s">
        <v>642</v>
      </c>
      <c r="Q16" s="262"/>
      <c r="R16" s="240"/>
      <c r="S16" s="820" t="s">
        <v>36</v>
      </c>
      <c r="T16" s="821"/>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835" t="s">
        <v>38</v>
      </c>
      <c r="G17" s="836">
        <v>0</v>
      </c>
      <c r="H17" s="21">
        <v>-0.5</v>
      </c>
      <c r="I17" s="21">
        <v>-0.5</v>
      </c>
      <c r="J17" s="17">
        <v>-0.5</v>
      </c>
      <c r="K17" s="21">
        <v>-1</v>
      </c>
      <c r="L17" s="21">
        <v>-1.5</v>
      </c>
      <c r="M17" s="21">
        <v>-2.25</v>
      </c>
      <c r="N17" s="21">
        <v>-3.25</v>
      </c>
      <c r="O17" s="225" t="s">
        <v>642</v>
      </c>
      <c r="P17" s="224" t="s">
        <v>642</v>
      </c>
      <c r="Q17" s="262"/>
      <c r="R17" s="240"/>
      <c r="S17" s="820" t="s">
        <v>39</v>
      </c>
      <c r="T17" s="821"/>
      <c r="U17" s="19" t="s">
        <v>31</v>
      </c>
      <c r="V17" s="232">
        <v>0</v>
      </c>
      <c r="W17" s="240"/>
      <c r="X17" s="20"/>
      <c r="Y17" s="20"/>
    </row>
    <row r="18" spans="1:25" x14ac:dyDescent="0.25">
      <c r="A18" s="239"/>
      <c r="B18" s="222">
        <v>7.125</v>
      </c>
      <c r="C18" s="23">
        <v>101.539</v>
      </c>
      <c r="D18" s="245"/>
      <c r="E18" s="240"/>
      <c r="F18" s="835" t="s">
        <v>40</v>
      </c>
      <c r="G18" s="836">
        <v>0</v>
      </c>
      <c r="H18" s="21">
        <v>-1</v>
      </c>
      <c r="I18" s="21">
        <v>-1.25</v>
      </c>
      <c r="J18" s="17">
        <v>-1.25</v>
      </c>
      <c r="K18" s="21">
        <v>-1.75</v>
      </c>
      <c r="L18" s="21">
        <v>-2.25</v>
      </c>
      <c r="M18" s="21">
        <v>-3.25</v>
      </c>
      <c r="N18" s="21">
        <v>-4.25</v>
      </c>
      <c r="O18" s="225" t="s">
        <v>642</v>
      </c>
      <c r="P18" s="224" t="s">
        <v>642</v>
      </c>
      <c r="Q18" s="262"/>
      <c r="R18" s="240"/>
      <c r="S18" s="820" t="s">
        <v>41</v>
      </c>
      <c r="T18" s="821"/>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835" t="s">
        <v>42</v>
      </c>
      <c r="G19" s="836">
        <v>0</v>
      </c>
      <c r="H19" s="21">
        <v>-1.75</v>
      </c>
      <c r="I19" s="21">
        <v>-2</v>
      </c>
      <c r="J19" s="17">
        <v>-2</v>
      </c>
      <c r="K19" s="21">
        <v>-2.5</v>
      </c>
      <c r="L19" s="21">
        <v>-3</v>
      </c>
      <c r="M19" s="21">
        <v>-4.25</v>
      </c>
      <c r="N19" s="21">
        <v>-5.25</v>
      </c>
      <c r="O19" s="225" t="s">
        <v>642</v>
      </c>
      <c r="P19" s="224" t="s">
        <v>642</v>
      </c>
      <c r="Q19" s="262"/>
      <c r="R19" s="240"/>
      <c r="S19" s="820" t="s">
        <v>43</v>
      </c>
      <c r="T19" s="821"/>
      <c r="U19" s="19" t="s">
        <v>31</v>
      </c>
      <c r="V19" s="232">
        <f>'Feed(WS)'!$R$163</f>
        <v>0</v>
      </c>
      <c r="W19" s="240"/>
      <c r="X19" s="20"/>
      <c r="Y19" s="20"/>
    </row>
    <row r="20" spans="1:25" ht="15.75" customHeight="1" x14ac:dyDescent="0.25">
      <c r="A20" s="239"/>
      <c r="B20" s="222">
        <v>7.375</v>
      </c>
      <c r="C20" s="23">
        <v>102.25</v>
      </c>
      <c r="D20" s="245"/>
      <c r="E20" s="240"/>
      <c r="F20" s="835" t="s">
        <v>44</v>
      </c>
      <c r="G20" s="836">
        <v>0</v>
      </c>
      <c r="H20" s="21">
        <v>-2.5</v>
      </c>
      <c r="I20" s="21">
        <v>-2.75</v>
      </c>
      <c r="J20" s="17">
        <v>-2.75</v>
      </c>
      <c r="K20" s="21">
        <v>-3.25</v>
      </c>
      <c r="L20" s="21">
        <v>-3.75</v>
      </c>
      <c r="M20" s="21">
        <v>-5.25</v>
      </c>
      <c r="N20" s="21">
        <v>-6.25</v>
      </c>
      <c r="O20" s="225" t="s">
        <v>642</v>
      </c>
      <c r="P20" s="224" t="s">
        <v>642</v>
      </c>
      <c r="Q20" s="262"/>
      <c r="R20" s="240"/>
      <c r="S20" s="820" t="s">
        <v>45</v>
      </c>
      <c r="T20" s="821"/>
      <c r="U20" s="19" t="s">
        <v>31</v>
      </c>
      <c r="V20" s="232">
        <f>'Feed(WS)'!$Q$163</f>
        <v>0</v>
      </c>
      <c r="W20" s="240"/>
      <c r="X20" s="20"/>
      <c r="Y20" s="20"/>
    </row>
    <row r="21" spans="1:25" ht="15.75" customHeight="1" x14ac:dyDescent="0.25">
      <c r="A21" s="239"/>
      <c r="B21" s="222">
        <v>7.4989999999999997</v>
      </c>
      <c r="C21" s="23">
        <v>102.593</v>
      </c>
      <c r="D21" s="245"/>
      <c r="E21" s="240"/>
      <c r="F21" s="856"/>
      <c r="G21" s="857"/>
      <c r="H21" s="857"/>
      <c r="I21" s="857"/>
      <c r="J21" s="857"/>
      <c r="K21" s="857"/>
      <c r="L21" s="857"/>
      <c r="M21" s="857"/>
      <c r="N21" s="857"/>
      <c r="O21" s="857"/>
      <c r="P21" s="858"/>
      <c r="Q21" s="262"/>
      <c r="R21" s="240"/>
      <c r="S21" s="820" t="s">
        <v>46</v>
      </c>
      <c r="T21" s="821"/>
      <c r="U21" s="19" t="s">
        <v>31</v>
      </c>
      <c r="V21" s="232" t="e">
        <f>IF(OR($U$11="", $U$21=""), "",
   INDEX($H$38:$P$47,
         MATCH($U$21,$F$38:$F$47,0),
         MATCH($U$11,$H$10:$P$10,0)))</f>
        <v>#N/A</v>
      </c>
      <c r="W21" s="240"/>
      <c r="X21" s="20"/>
    </row>
    <row r="22" spans="1:25" x14ac:dyDescent="0.25">
      <c r="A22" s="239"/>
      <c r="B22" s="222">
        <v>7.625</v>
      </c>
      <c r="C22" s="23">
        <v>102.93</v>
      </c>
      <c r="D22" s="245"/>
      <c r="E22" s="240"/>
      <c r="F22" s="939" t="s">
        <v>27</v>
      </c>
      <c r="G22" s="962"/>
      <c r="H22" s="962"/>
      <c r="I22" s="962"/>
      <c r="J22" s="962"/>
      <c r="K22" s="962"/>
      <c r="L22" s="962"/>
      <c r="M22" s="962"/>
      <c r="N22" s="962"/>
      <c r="O22" s="962"/>
      <c r="P22" s="940"/>
      <c r="Q22" s="240"/>
      <c r="R22" s="240"/>
      <c r="S22" s="820" t="s">
        <v>47</v>
      </c>
      <c r="T22" s="821"/>
      <c r="U22" s="19" t="s">
        <v>31</v>
      </c>
      <c r="V22" s="232" t="e">
        <f>IF(OR($U$11="", $U$22=""), "",
   INDEX($H$32:$P$36,
         MATCH($U$22,$F$32:$F$36,0),
         MATCH($U$11,$H$10:$P$10,0)))</f>
        <v>#N/A</v>
      </c>
      <c r="W22" s="240"/>
    </row>
    <row r="23" spans="1:25" ht="15.75" customHeight="1" x14ac:dyDescent="0.25">
      <c r="A23" s="239"/>
      <c r="B23" s="222">
        <v>7.75</v>
      </c>
      <c r="C23" s="23">
        <v>103.258</v>
      </c>
      <c r="D23" s="245"/>
      <c r="E23" s="240"/>
      <c r="F23" s="618" t="s">
        <v>48</v>
      </c>
      <c r="G23" s="619"/>
      <c r="H23" s="25">
        <v>0.5</v>
      </c>
      <c r="I23" s="25">
        <v>0.5</v>
      </c>
      <c r="J23" s="25">
        <v>0.5</v>
      </c>
      <c r="K23" s="25">
        <v>0.5</v>
      </c>
      <c r="L23" s="25">
        <v>0.5</v>
      </c>
      <c r="M23" s="25">
        <v>0.5</v>
      </c>
      <c r="N23" s="25">
        <v>0.5</v>
      </c>
      <c r="O23" s="25">
        <v>0.5</v>
      </c>
      <c r="P23" s="26" t="s">
        <v>642</v>
      </c>
      <c r="Q23" s="240"/>
      <c r="R23" s="240"/>
      <c r="S23" s="820" t="s">
        <v>49</v>
      </c>
      <c r="T23" s="821"/>
      <c r="U23" s="19" t="s">
        <v>31</v>
      </c>
      <c r="V23" s="232">
        <f>'Feed(WS)'!$P$168</f>
        <v>0</v>
      </c>
      <c r="W23" s="240"/>
      <c r="Y23" s="27"/>
    </row>
    <row r="24" spans="1:25" ht="15.75" customHeight="1" x14ac:dyDescent="0.25">
      <c r="A24" s="239"/>
      <c r="B24" s="222">
        <v>7.875</v>
      </c>
      <c r="C24" s="23">
        <v>103.578125</v>
      </c>
      <c r="D24" s="245"/>
      <c r="E24" s="240"/>
      <c r="F24" s="618" t="s">
        <v>28</v>
      </c>
      <c r="G24" s="619"/>
      <c r="H24" s="25">
        <v>0</v>
      </c>
      <c r="I24" s="25">
        <v>0</v>
      </c>
      <c r="J24" s="25">
        <v>0</v>
      </c>
      <c r="K24" s="25">
        <v>0</v>
      </c>
      <c r="L24" s="25">
        <v>0</v>
      </c>
      <c r="M24" s="25">
        <v>0</v>
      </c>
      <c r="N24" s="25">
        <v>0</v>
      </c>
      <c r="O24" s="25">
        <v>0</v>
      </c>
      <c r="P24" s="26">
        <v>0</v>
      </c>
      <c r="Q24" s="240"/>
      <c r="R24" s="240"/>
      <c r="S24" s="820" t="s">
        <v>50</v>
      </c>
      <c r="T24" s="821"/>
      <c r="U24" s="19" t="s">
        <v>31</v>
      </c>
      <c r="V24" s="232">
        <f>'Feed(WS)'!$P$163</f>
        <v>0</v>
      </c>
      <c r="W24" s="240"/>
      <c r="Y24" s="27"/>
    </row>
    <row r="25" spans="1:25" ht="15.75" customHeight="1" x14ac:dyDescent="0.25">
      <c r="A25" s="239"/>
      <c r="B25" s="222">
        <v>7.9989999999999997</v>
      </c>
      <c r="C25" s="23">
        <v>103.859375</v>
      </c>
      <c r="D25" s="245"/>
      <c r="E25" s="240"/>
      <c r="F25" s="939" t="s">
        <v>51</v>
      </c>
      <c r="G25" s="962"/>
      <c r="H25" s="962"/>
      <c r="I25" s="962"/>
      <c r="J25" s="962"/>
      <c r="K25" s="962"/>
      <c r="L25" s="962"/>
      <c r="M25" s="962"/>
      <c r="N25" s="962"/>
      <c r="O25" s="962"/>
      <c r="P25" s="940"/>
      <c r="Q25" s="240"/>
      <c r="R25" s="240"/>
      <c r="S25" s="820" t="s">
        <v>52</v>
      </c>
      <c r="T25" s="821"/>
      <c r="U25" s="19" t="s">
        <v>53</v>
      </c>
      <c r="V25" s="232" t="e">
        <f>'Feed(WS)'!$O$163</f>
        <v>#N/A</v>
      </c>
      <c r="W25" s="240"/>
    </row>
    <row r="26" spans="1:25" x14ac:dyDescent="0.25">
      <c r="A26" s="239"/>
      <c r="B26" s="222">
        <v>8.125</v>
      </c>
      <c r="C26" s="23">
        <v>104.109375</v>
      </c>
      <c r="D26" s="245"/>
      <c r="E26" s="240"/>
      <c r="F26" s="618" t="s">
        <v>54</v>
      </c>
      <c r="G26" s="619"/>
      <c r="H26" s="25">
        <v>-0.25</v>
      </c>
      <c r="I26" s="25">
        <v>-0.25</v>
      </c>
      <c r="J26" s="25">
        <v>-0.25</v>
      </c>
      <c r="K26" s="25">
        <v>-0.25</v>
      </c>
      <c r="L26" s="25">
        <v>-0.25</v>
      </c>
      <c r="M26" s="25">
        <v>-0.25</v>
      </c>
      <c r="N26" s="25">
        <v>-0.25</v>
      </c>
      <c r="O26" s="25">
        <v>-0.25</v>
      </c>
      <c r="P26" s="26">
        <v>-0.25</v>
      </c>
      <c r="Q26" s="240"/>
      <c r="R26" s="240"/>
      <c r="S26" s="820" t="s">
        <v>55</v>
      </c>
      <c r="T26" s="821"/>
      <c r="U26" s="19" t="s">
        <v>56</v>
      </c>
      <c r="V26" s="232" t="e">
        <f>'Feed(WS)'!$Q$168</f>
        <v>#N/A</v>
      </c>
      <c r="W26" s="240"/>
    </row>
    <row r="27" spans="1:25" ht="15.75" customHeight="1" x14ac:dyDescent="0.25">
      <c r="A27" s="239"/>
      <c r="B27" s="222">
        <v>8.25</v>
      </c>
      <c r="C27" s="23">
        <v>104.359375</v>
      </c>
      <c r="D27" s="245"/>
      <c r="E27" s="240"/>
      <c r="F27" s="618" t="s">
        <v>57</v>
      </c>
      <c r="G27" s="619"/>
      <c r="H27" s="25">
        <v>-0.25</v>
      </c>
      <c r="I27" s="25">
        <v>-0.25</v>
      </c>
      <c r="J27" s="25">
        <v>-0.25</v>
      </c>
      <c r="K27" s="25">
        <v>-0.25</v>
      </c>
      <c r="L27" s="25">
        <v>-0.25</v>
      </c>
      <c r="M27" s="25">
        <v>-0.25</v>
      </c>
      <c r="N27" s="25">
        <v>-0.25</v>
      </c>
      <c r="O27" s="25">
        <v>-0.25</v>
      </c>
      <c r="P27" s="26">
        <v>-0.5</v>
      </c>
      <c r="Q27" s="240"/>
      <c r="R27" s="240"/>
      <c r="S27" s="820" t="s">
        <v>58</v>
      </c>
      <c r="T27" s="821"/>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18" t="s">
        <v>59</v>
      </c>
      <c r="G28" s="619"/>
      <c r="H28" s="25">
        <v>-0.125</v>
      </c>
      <c r="I28" s="25">
        <v>-0.25</v>
      </c>
      <c r="J28" s="25">
        <v>-0.25</v>
      </c>
      <c r="K28" s="25">
        <v>-0.25</v>
      </c>
      <c r="L28" s="25">
        <v>-0.375</v>
      </c>
      <c r="M28" s="25">
        <v>-0.5</v>
      </c>
      <c r="N28" s="25">
        <v>-1</v>
      </c>
      <c r="O28" s="25" t="s">
        <v>642</v>
      </c>
      <c r="P28" s="26" t="s">
        <v>642</v>
      </c>
      <c r="Q28" s="240"/>
      <c r="R28" s="240"/>
      <c r="S28" s="820" t="s">
        <v>60</v>
      </c>
      <c r="T28" s="821"/>
      <c r="U28" s="19"/>
      <c r="V28" s="232">
        <v>0</v>
      </c>
      <c r="W28" s="240"/>
      <c r="X28" s="3"/>
    </row>
    <row r="29" spans="1:25" x14ac:dyDescent="0.25">
      <c r="A29" s="239"/>
      <c r="B29" s="222">
        <v>8.4990000000000006</v>
      </c>
      <c r="C29" s="23">
        <v>104.859375</v>
      </c>
      <c r="D29" s="245"/>
      <c r="E29" s="240"/>
      <c r="F29" s="618" t="s">
        <v>61</v>
      </c>
      <c r="G29" s="619"/>
      <c r="H29" s="25">
        <v>-0.125</v>
      </c>
      <c r="I29" s="25">
        <v>-0.25</v>
      </c>
      <c r="J29" s="25">
        <v>-0.25</v>
      </c>
      <c r="K29" s="25">
        <v>-0.25</v>
      </c>
      <c r="L29" s="25">
        <v>-0.25</v>
      </c>
      <c r="M29" s="25">
        <v>-0.25</v>
      </c>
      <c r="N29" s="25">
        <v>-0.375</v>
      </c>
      <c r="O29" s="25">
        <v>-0.375</v>
      </c>
      <c r="P29" s="26">
        <v>-0.375</v>
      </c>
      <c r="Q29" s="240"/>
      <c r="R29" s="240"/>
      <c r="S29" s="820" t="s">
        <v>62</v>
      </c>
      <c r="T29" s="821"/>
      <c r="U29" s="19" t="s">
        <v>31</v>
      </c>
      <c r="V29" s="232">
        <v>0</v>
      </c>
      <c r="W29" s="240"/>
      <c r="X29" s="28"/>
    </row>
    <row r="30" spans="1:25" x14ac:dyDescent="0.25">
      <c r="A30" s="239"/>
      <c r="B30" s="222">
        <v>8.625</v>
      </c>
      <c r="C30" s="23">
        <v>105.109375</v>
      </c>
      <c r="D30" s="245"/>
      <c r="E30" s="240"/>
      <c r="F30" s="618" t="s">
        <v>63</v>
      </c>
      <c r="G30" s="619"/>
      <c r="H30" s="25">
        <v>-0.75</v>
      </c>
      <c r="I30" s="25">
        <v>-0.75</v>
      </c>
      <c r="J30" s="25">
        <v>-0.75</v>
      </c>
      <c r="K30" s="25">
        <v>-0.75</v>
      </c>
      <c r="L30" s="25">
        <v>-0.75</v>
      </c>
      <c r="M30" s="25">
        <v>-0.75</v>
      </c>
      <c r="N30" s="25">
        <v>-0.75</v>
      </c>
      <c r="O30" s="25" t="s">
        <v>642</v>
      </c>
      <c r="P30" s="26" t="s">
        <v>642</v>
      </c>
      <c r="Q30" s="240"/>
      <c r="R30" s="240"/>
      <c r="S30" s="820" t="s">
        <v>64</v>
      </c>
      <c r="T30" s="821"/>
      <c r="U30" s="29" t="s">
        <v>65</v>
      </c>
      <c r="V30" s="232" t="e">
        <f>'Feed(WS)'!$R$168</f>
        <v>#N/A</v>
      </c>
      <c r="W30" s="240"/>
    </row>
    <row r="31" spans="1:25" x14ac:dyDescent="0.25">
      <c r="A31" s="239"/>
      <c r="B31" s="222">
        <v>8.75</v>
      </c>
      <c r="C31" s="23">
        <v>105.296875</v>
      </c>
      <c r="D31" s="245"/>
      <c r="E31" s="240"/>
      <c r="F31" s="939" t="s">
        <v>47</v>
      </c>
      <c r="G31" s="962"/>
      <c r="H31" s="962"/>
      <c r="I31" s="962"/>
      <c r="J31" s="962"/>
      <c r="K31" s="962"/>
      <c r="L31" s="962"/>
      <c r="M31" s="962"/>
      <c r="N31" s="962"/>
      <c r="O31" s="962"/>
      <c r="P31" s="940"/>
      <c r="Q31" s="240"/>
      <c r="R31" s="240"/>
      <c r="S31" s="820" t="s">
        <v>66</v>
      </c>
      <c r="T31" s="821"/>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18" t="s">
        <v>68</v>
      </c>
      <c r="G32" s="619"/>
      <c r="H32" s="25">
        <v>0</v>
      </c>
      <c r="I32" s="25">
        <v>0</v>
      </c>
      <c r="J32" s="25">
        <v>0</v>
      </c>
      <c r="K32" s="25">
        <v>0</v>
      </c>
      <c r="L32" s="25">
        <v>0</v>
      </c>
      <c r="M32" s="25">
        <v>0</v>
      </c>
      <c r="N32" s="25">
        <v>0</v>
      </c>
      <c r="O32" s="25">
        <v>0</v>
      </c>
      <c r="P32" s="26">
        <v>0</v>
      </c>
      <c r="Q32" s="240"/>
      <c r="R32" s="240"/>
      <c r="S32" s="820" t="s">
        <v>69</v>
      </c>
      <c r="T32" s="821"/>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18" t="s">
        <v>70</v>
      </c>
      <c r="G33" s="619"/>
      <c r="H33" s="25">
        <v>0</v>
      </c>
      <c r="I33" s="25">
        <v>0</v>
      </c>
      <c r="J33" s="25">
        <v>0</v>
      </c>
      <c r="K33" s="25">
        <v>0</v>
      </c>
      <c r="L33" s="25">
        <v>-0.25</v>
      </c>
      <c r="M33" s="25">
        <v>-0.25</v>
      </c>
      <c r="N33" s="25">
        <v>-0.25</v>
      </c>
      <c r="O33" s="25">
        <v>-0.25</v>
      </c>
      <c r="P33" s="26" t="s">
        <v>642</v>
      </c>
      <c r="Q33" s="240"/>
      <c r="R33" s="240"/>
      <c r="S33" s="820" t="s">
        <v>73</v>
      </c>
      <c r="T33" s="821"/>
      <c r="U33" s="30" t="str">
        <f>IF(ISNA(V33),"Yes",IF(V33=0,"No",""))</f>
        <v>No</v>
      </c>
      <c r="V33" s="232">
        <f>'Feed(WS)'!$B$67</f>
        <v>0</v>
      </c>
      <c r="W33" s="240"/>
    </row>
    <row r="34" spans="1:25" x14ac:dyDescent="0.25">
      <c r="A34" s="239"/>
      <c r="B34" s="222">
        <v>9.125</v>
      </c>
      <c r="C34" s="23">
        <v>105.859375</v>
      </c>
      <c r="D34" s="245"/>
      <c r="E34" s="240"/>
      <c r="F34" s="618" t="s">
        <v>72</v>
      </c>
      <c r="G34" s="619"/>
      <c r="H34" s="25">
        <v>0</v>
      </c>
      <c r="I34" s="25">
        <v>-0.125</v>
      </c>
      <c r="J34" s="25">
        <v>-0.125</v>
      </c>
      <c r="K34" s="25">
        <v>-0.125</v>
      </c>
      <c r="L34" s="25">
        <v>-0.25</v>
      </c>
      <c r="M34" s="25">
        <v>-0.5</v>
      </c>
      <c r="N34" s="25">
        <v>-0.75</v>
      </c>
      <c r="O34" s="25" t="s">
        <v>642</v>
      </c>
      <c r="P34" s="26" t="s">
        <v>642</v>
      </c>
      <c r="Q34" s="240"/>
      <c r="R34" s="240"/>
      <c r="S34" s="820" t="s">
        <v>73</v>
      </c>
      <c r="T34" s="821"/>
      <c r="U34" s="30" t="s">
        <v>74</v>
      </c>
      <c r="V34" s="232">
        <v>0</v>
      </c>
      <c r="W34" s="240"/>
    </row>
    <row r="35" spans="1:25" ht="15.75" customHeight="1" x14ac:dyDescent="0.25">
      <c r="A35" s="239"/>
      <c r="B35" s="222">
        <v>9.25</v>
      </c>
      <c r="C35" s="23">
        <v>106.046875</v>
      </c>
      <c r="D35" s="245"/>
      <c r="E35" s="240"/>
      <c r="F35" s="618" t="s">
        <v>75</v>
      </c>
      <c r="G35" s="619"/>
      <c r="H35" s="25">
        <v>-0.25</v>
      </c>
      <c r="I35" s="25">
        <v>-0.25</v>
      </c>
      <c r="J35" s="25">
        <v>-0.25</v>
      </c>
      <c r="K35" s="25">
        <v>-0.25</v>
      </c>
      <c r="L35" s="25">
        <v>-0.25</v>
      </c>
      <c r="M35" s="25">
        <v>-0.5</v>
      </c>
      <c r="N35" s="25">
        <v>-0.5</v>
      </c>
      <c r="O35" s="25" t="s">
        <v>642</v>
      </c>
      <c r="P35" s="26" t="s">
        <v>642</v>
      </c>
      <c r="Q35" s="240"/>
      <c r="R35" s="240"/>
      <c r="S35" s="820" t="s">
        <v>207</v>
      </c>
      <c r="T35" s="821"/>
      <c r="U35" s="30" t="e">
        <f>IF(V36=0,'Feed(WS)'!Y4,'Feed(WS)'!Y5)</f>
        <v>#N/A</v>
      </c>
      <c r="V35" s="232" t="b">
        <f>'Feed(WS)'!$Z$1</f>
        <v>0</v>
      </c>
      <c r="W35" s="240"/>
    </row>
    <row r="36" spans="1:25" x14ac:dyDescent="0.25">
      <c r="A36" s="239"/>
      <c r="B36" s="222">
        <v>9.375</v>
      </c>
      <c r="C36" s="23">
        <v>106.234375</v>
      </c>
      <c r="D36" s="245"/>
      <c r="E36" s="240"/>
      <c r="F36" s="618" t="s">
        <v>76</v>
      </c>
      <c r="G36" s="619"/>
      <c r="H36" s="25">
        <v>-0.5</v>
      </c>
      <c r="I36" s="25">
        <v>-0.5</v>
      </c>
      <c r="J36" s="25">
        <v>-0.5</v>
      </c>
      <c r="K36" s="25">
        <v>-0.5</v>
      </c>
      <c r="L36" s="25">
        <v>-0.5</v>
      </c>
      <c r="M36" s="25">
        <v>-0.75</v>
      </c>
      <c r="N36" s="25" t="s">
        <v>642</v>
      </c>
      <c r="O36" s="25" t="s">
        <v>642</v>
      </c>
      <c r="P36" s="26" t="s">
        <v>642</v>
      </c>
      <c r="Q36" s="240"/>
      <c r="R36" s="240"/>
      <c r="S36" s="822" t="s">
        <v>77</v>
      </c>
      <c r="T36" s="823"/>
      <c r="U36" s="824"/>
      <c r="V36" s="233" t="e">
        <f>SUM($V$12:$V$35)</f>
        <v>#N/A</v>
      </c>
      <c r="W36" s="240"/>
    </row>
    <row r="37" spans="1:25" ht="15.75" customHeight="1" x14ac:dyDescent="0.25">
      <c r="A37" s="239"/>
      <c r="B37" s="222">
        <v>9.4990000000000006</v>
      </c>
      <c r="C37" s="23">
        <v>106.421875</v>
      </c>
      <c r="D37" s="245"/>
      <c r="E37" s="240"/>
      <c r="F37" s="939" t="s">
        <v>78</v>
      </c>
      <c r="G37" s="962"/>
      <c r="H37" s="962"/>
      <c r="I37" s="962"/>
      <c r="J37" s="962"/>
      <c r="K37" s="962"/>
      <c r="L37" s="962"/>
      <c r="M37" s="962"/>
      <c r="N37" s="962"/>
      <c r="O37" s="962"/>
      <c r="P37" s="940"/>
      <c r="Q37" s="263"/>
      <c r="R37" s="240"/>
      <c r="S37" s="822" t="s">
        <v>79</v>
      </c>
      <c r="T37" s="823"/>
      <c r="U37" s="824"/>
      <c r="V37" s="233" t="str">
        <f>_xlfn.XLOOKUP($U$10, $B$10:$B$50, $C$10:$C$50, "#N/A")</f>
        <v>#N/A</v>
      </c>
      <c r="W37" s="240"/>
      <c r="Y37" s="28"/>
    </row>
    <row r="38" spans="1:25" ht="15.75" customHeight="1" x14ac:dyDescent="0.25">
      <c r="A38" s="239"/>
      <c r="B38" s="222">
        <v>9.625</v>
      </c>
      <c r="C38" s="23">
        <v>106.609375</v>
      </c>
      <c r="D38" s="245"/>
      <c r="E38" s="240"/>
      <c r="F38" s="618" t="s">
        <v>80</v>
      </c>
      <c r="G38" s="619"/>
      <c r="H38" s="25">
        <v>-0.5</v>
      </c>
      <c r="I38" s="25">
        <v>-0.625</v>
      </c>
      <c r="J38" s="25">
        <v>-0.625</v>
      </c>
      <c r="K38" s="25">
        <v>-0.75</v>
      </c>
      <c r="L38" s="25">
        <v>-0.75</v>
      </c>
      <c r="M38" s="25">
        <v>-0.875</v>
      </c>
      <c r="N38" s="25">
        <v>-1</v>
      </c>
      <c r="O38" s="25">
        <v>-1.5</v>
      </c>
      <c r="P38" s="26">
        <v>-1.5</v>
      </c>
      <c r="Q38" s="240"/>
      <c r="R38" s="240"/>
      <c r="S38" s="822" t="s">
        <v>81</v>
      </c>
      <c r="T38" s="823"/>
      <c r="U38" s="824"/>
      <c r="V38" s="233" t="str">
        <f>IFERROR(IF(AND($U$10&lt;&gt;'Feed(WS)'!$K$134,$V$39=$T$64),NA(),$V$37+$V$36),"#N/A")</f>
        <v>#N/A</v>
      </c>
      <c r="W38" s="240"/>
    </row>
    <row r="39" spans="1:25" x14ac:dyDescent="0.25">
      <c r="A39" s="239"/>
      <c r="B39" s="222">
        <v>9.75</v>
      </c>
      <c r="C39" s="23">
        <v>106.796875</v>
      </c>
      <c r="D39" s="245"/>
      <c r="E39" s="240"/>
      <c r="F39" s="618" t="s">
        <v>82</v>
      </c>
      <c r="G39" s="619"/>
      <c r="H39" s="25">
        <v>0</v>
      </c>
      <c r="I39" s="25">
        <v>0</v>
      </c>
      <c r="J39" s="25">
        <v>0</v>
      </c>
      <c r="K39" s="25">
        <v>0</v>
      </c>
      <c r="L39" s="25">
        <v>0</v>
      </c>
      <c r="M39" s="25">
        <v>0</v>
      </c>
      <c r="N39" s="25">
        <v>0</v>
      </c>
      <c r="O39" s="25">
        <v>-0.25</v>
      </c>
      <c r="P39" s="26">
        <v>-0.5</v>
      </c>
      <c r="Q39" s="240"/>
      <c r="R39" s="240"/>
      <c r="S39" s="822" t="s">
        <v>83</v>
      </c>
      <c r="T39" s="823"/>
      <c r="U39" s="824"/>
      <c r="V39" s="233" t="e">
        <f>IF(OR('Feed(WS)'!$E$147=0, ISERROR('Feed(WS)'!$E$147)), NA(), 'Feed(WS)'!$E$147)</f>
        <v>#N/A</v>
      </c>
      <c r="W39" s="240"/>
    </row>
    <row r="40" spans="1:25" ht="14.25" customHeight="1" x14ac:dyDescent="0.25">
      <c r="A40" s="239"/>
      <c r="B40" s="222">
        <v>9.875</v>
      </c>
      <c r="C40" s="23">
        <v>106.921875</v>
      </c>
      <c r="D40" s="245"/>
      <c r="E40" s="240"/>
      <c r="F40" s="618" t="s">
        <v>84</v>
      </c>
      <c r="G40" s="619"/>
      <c r="H40" s="25">
        <v>0</v>
      </c>
      <c r="I40" s="25">
        <v>0</v>
      </c>
      <c r="J40" s="25">
        <v>0</v>
      </c>
      <c r="K40" s="25">
        <v>0</v>
      </c>
      <c r="L40" s="25">
        <v>0</v>
      </c>
      <c r="M40" s="25">
        <v>0</v>
      </c>
      <c r="N40" s="25">
        <v>0</v>
      </c>
      <c r="O40" s="25">
        <v>0</v>
      </c>
      <c r="P40" s="26">
        <v>0</v>
      </c>
      <c r="Q40" s="240"/>
      <c r="R40" s="240"/>
      <c r="S40" s="829" t="s">
        <v>85</v>
      </c>
      <c r="T40" s="830"/>
      <c r="U40" s="860"/>
      <c r="V40" s="234" t="e">
        <f>IF(OR($V$36="#NA",$V$37="#NA"),NA(),IF(AND($U$9&lt;&gt;'Feed(WS)'!$K$134,$V$39=$T$64),NA(),IF($V$38&gt;$V$39,$V$39,$V$38)))</f>
        <v>#N/A</v>
      </c>
      <c r="W40" s="240"/>
    </row>
    <row r="41" spans="1:25" ht="14.25" customHeight="1" x14ac:dyDescent="0.25">
      <c r="A41" s="239"/>
      <c r="B41" s="222">
        <v>9.9990000000000006</v>
      </c>
      <c r="C41" s="23">
        <v>107.046875</v>
      </c>
      <c r="D41" s="245"/>
      <c r="E41" s="240"/>
      <c r="F41" s="625" t="s">
        <v>86</v>
      </c>
      <c r="G41" s="626"/>
      <c r="H41" s="25">
        <v>0.375</v>
      </c>
      <c r="I41" s="25">
        <v>0.375</v>
      </c>
      <c r="J41" s="25">
        <v>0.25</v>
      </c>
      <c r="K41" s="25">
        <v>0.25</v>
      </c>
      <c r="L41" s="25">
        <v>0.25</v>
      </c>
      <c r="M41" s="25">
        <v>0.25</v>
      </c>
      <c r="N41" s="25">
        <v>0.25</v>
      </c>
      <c r="O41" s="25">
        <v>0</v>
      </c>
      <c r="P41" s="26">
        <v>0</v>
      </c>
      <c r="Q41" s="240"/>
      <c r="R41" s="240"/>
      <c r="S41" s="829" t="str" cm="1">
        <f t="array" ref="S41">IF(OR($U$11:$U$25="Choose a Selection"),"",CONCATENATE('Feed(WS)'!$I$134," ",'Feed(WS)'!$K$134,"%"&amp;" @ "&amp;'Feed(WS)'!$L$134))</f>
        <v/>
      </c>
      <c r="T41" s="830"/>
      <c r="U41" s="830"/>
      <c r="V41" s="831"/>
      <c r="W41" s="240"/>
    </row>
    <row r="42" spans="1:25" ht="15.75" customHeight="1" x14ac:dyDescent="0.25">
      <c r="A42" s="239"/>
      <c r="B42" s="222">
        <v>10.125</v>
      </c>
      <c r="C42" s="23">
        <v>107.171875</v>
      </c>
      <c r="D42" s="245"/>
      <c r="E42" s="240"/>
      <c r="F42" s="625" t="s">
        <v>87</v>
      </c>
      <c r="G42" s="626"/>
      <c r="H42" s="25">
        <v>0</v>
      </c>
      <c r="I42" s="25">
        <v>0</v>
      </c>
      <c r="J42" s="25">
        <v>0</v>
      </c>
      <c r="K42" s="25">
        <v>0</v>
      </c>
      <c r="L42" s="25">
        <v>0</v>
      </c>
      <c r="M42" s="25">
        <v>0</v>
      </c>
      <c r="N42" s="25">
        <v>0</v>
      </c>
      <c r="O42" s="25">
        <v>0</v>
      </c>
      <c r="P42" s="26">
        <v>0</v>
      </c>
      <c r="Q42" s="240"/>
      <c r="R42" s="240"/>
      <c r="S42" s="958" t="s">
        <v>88</v>
      </c>
      <c r="T42" s="958"/>
      <c r="U42" s="958"/>
      <c r="V42" s="959"/>
      <c r="W42" s="240"/>
    </row>
    <row r="43" spans="1:25" ht="14.25" customHeight="1" x14ac:dyDescent="0.25">
      <c r="A43" s="239"/>
      <c r="B43" s="222">
        <v>10.25</v>
      </c>
      <c r="C43" s="23">
        <v>107.296875</v>
      </c>
      <c r="D43" s="245"/>
      <c r="E43" s="240"/>
      <c r="F43" s="625" t="s">
        <v>89</v>
      </c>
      <c r="G43" s="626"/>
      <c r="H43" s="25">
        <v>-0.25</v>
      </c>
      <c r="I43" s="25">
        <v>-0.25</v>
      </c>
      <c r="J43" s="25">
        <v>-0.25</v>
      </c>
      <c r="K43" s="25">
        <v>-0.25</v>
      </c>
      <c r="L43" s="25">
        <v>-0.25</v>
      </c>
      <c r="M43" s="25">
        <v>-0.25</v>
      </c>
      <c r="N43" s="25">
        <v>-0.25</v>
      </c>
      <c r="O43" s="25">
        <v>-0.25</v>
      </c>
      <c r="P43" s="26" t="s">
        <v>642</v>
      </c>
      <c r="Q43" s="264"/>
      <c r="R43" s="240"/>
      <c r="S43" s="960"/>
      <c r="T43" s="960"/>
      <c r="U43" s="960"/>
      <c r="V43" s="961"/>
      <c r="W43" s="240"/>
    </row>
    <row r="44" spans="1:25" ht="15.75" customHeight="1" x14ac:dyDescent="0.25">
      <c r="A44" s="239"/>
      <c r="B44" s="222">
        <v>10.375</v>
      </c>
      <c r="C44" s="23">
        <v>107.421875</v>
      </c>
      <c r="D44" s="245"/>
      <c r="E44" s="240"/>
      <c r="F44" s="625" t="s">
        <v>90</v>
      </c>
      <c r="G44" s="626"/>
      <c r="H44" s="25">
        <v>-0.5</v>
      </c>
      <c r="I44" s="25">
        <v>-0.5</v>
      </c>
      <c r="J44" s="25">
        <v>-0.5</v>
      </c>
      <c r="K44" s="25">
        <v>-0.5</v>
      </c>
      <c r="L44" s="25">
        <v>-0.5</v>
      </c>
      <c r="M44" s="25">
        <v>-0.5</v>
      </c>
      <c r="N44" s="25">
        <v>-0.5</v>
      </c>
      <c r="O44" s="25" t="s">
        <v>642</v>
      </c>
      <c r="P44" s="26" t="s">
        <v>642</v>
      </c>
      <c r="Q44" s="240"/>
      <c r="R44" s="240"/>
      <c r="S44" s="960"/>
      <c r="T44" s="960"/>
      <c r="U44" s="960"/>
      <c r="V44" s="961"/>
      <c r="W44" s="240"/>
    </row>
    <row r="45" spans="1:25" ht="14.25" customHeight="1" x14ac:dyDescent="0.25">
      <c r="A45" s="239"/>
      <c r="B45" s="222">
        <v>10.499000000000001</v>
      </c>
      <c r="C45" s="23">
        <v>107.546875</v>
      </c>
      <c r="D45" s="245"/>
      <c r="E45" s="240"/>
      <c r="F45" s="625" t="s">
        <v>91</v>
      </c>
      <c r="G45" s="626"/>
      <c r="H45" s="25">
        <v>-1</v>
      </c>
      <c r="I45" s="25">
        <v>-1</v>
      </c>
      <c r="J45" s="25">
        <v>-1</v>
      </c>
      <c r="K45" s="25">
        <v>-1</v>
      </c>
      <c r="L45" s="25">
        <v>-1</v>
      </c>
      <c r="M45" s="25">
        <v>-1</v>
      </c>
      <c r="N45" s="25">
        <v>-1</v>
      </c>
      <c r="O45" s="25" t="s">
        <v>642</v>
      </c>
      <c r="P45" s="26" t="s">
        <v>642</v>
      </c>
      <c r="Q45" s="240"/>
      <c r="R45" s="240"/>
      <c r="S45" s="960"/>
      <c r="T45" s="960"/>
      <c r="U45" s="960"/>
      <c r="V45" s="961"/>
      <c r="W45" s="240"/>
    </row>
    <row r="46" spans="1:25" ht="14.25" customHeight="1" x14ac:dyDescent="0.25">
      <c r="A46" s="239"/>
      <c r="B46" s="222">
        <v>10.625</v>
      </c>
      <c r="C46" s="23">
        <v>107.671875</v>
      </c>
      <c r="D46" s="245"/>
      <c r="E46" s="240"/>
      <c r="F46" s="625" t="s">
        <v>92</v>
      </c>
      <c r="G46" s="626"/>
      <c r="H46" s="25">
        <v>-2</v>
      </c>
      <c r="I46" s="25">
        <v>-2</v>
      </c>
      <c r="J46" s="25">
        <v>-2</v>
      </c>
      <c r="K46" s="25">
        <v>-2</v>
      </c>
      <c r="L46" s="25">
        <v>-2</v>
      </c>
      <c r="M46" s="25" t="s">
        <v>642</v>
      </c>
      <c r="N46" s="25" t="s">
        <v>642</v>
      </c>
      <c r="O46" s="25" t="s">
        <v>642</v>
      </c>
      <c r="P46" s="26" t="s">
        <v>642</v>
      </c>
      <c r="Q46" s="240"/>
      <c r="R46" s="240"/>
      <c r="S46" s="966"/>
      <c r="T46" s="966"/>
      <c r="U46" s="966"/>
      <c r="V46" s="967"/>
      <c r="W46" s="240"/>
    </row>
    <row r="47" spans="1:25" ht="14.25" customHeight="1" x14ac:dyDescent="0.25">
      <c r="A47" s="239"/>
      <c r="B47" s="222">
        <v>10.75</v>
      </c>
      <c r="C47" s="23">
        <v>107.796875</v>
      </c>
      <c r="D47" s="245"/>
      <c r="E47" s="240"/>
      <c r="F47" s="625" t="s">
        <v>93</v>
      </c>
      <c r="G47" s="626"/>
      <c r="H47" s="25">
        <v>-3</v>
      </c>
      <c r="I47" s="25">
        <v>-3</v>
      </c>
      <c r="J47" s="25">
        <v>-3</v>
      </c>
      <c r="K47" s="25">
        <v>-3</v>
      </c>
      <c r="L47" s="25" t="s">
        <v>642</v>
      </c>
      <c r="M47" s="25" t="s">
        <v>642</v>
      </c>
      <c r="N47" s="25" t="s">
        <v>642</v>
      </c>
      <c r="O47" s="25" t="s">
        <v>642</v>
      </c>
      <c r="P47" s="26" t="s">
        <v>642</v>
      </c>
      <c r="Q47" s="240"/>
      <c r="R47" s="240"/>
      <c r="S47" s="958" t="s">
        <v>94</v>
      </c>
      <c r="T47" s="958"/>
      <c r="U47" s="958"/>
      <c r="V47" s="959"/>
      <c r="W47" s="240"/>
    </row>
    <row r="48" spans="1:25" ht="15.75" customHeight="1" x14ac:dyDescent="0.25">
      <c r="A48" s="239"/>
      <c r="B48" s="222">
        <v>10.875</v>
      </c>
      <c r="C48" s="23">
        <v>107.921875</v>
      </c>
      <c r="D48" s="245"/>
      <c r="E48" s="240"/>
      <c r="F48" s="939" t="s">
        <v>95</v>
      </c>
      <c r="G48" s="962"/>
      <c r="H48" s="962"/>
      <c r="I48" s="962"/>
      <c r="J48" s="962"/>
      <c r="K48" s="962"/>
      <c r="L48" s="962"/>
      <c r="M48" s="962"/>
      <c r="N48" s="962"/>
      <c r="O48" s="962"/>
      <c r="P48" s="940"/>
      <c r="Q48" s="240"/>
      <c r="R48" s="240"/>
      <c r="S48" s="960"/>
      <c r="T48" s="960"/>
      <c r="U48" s="960"/>
      <c r="V48" s="961"/>
      <c r="W48" s="240"/>
    </row>
    <row r="49" spans="1:23" ht="15.75" customHeight="1" x14ac:dyDescent="0.25">
      <c r="A49" s="239"/>
      <c r="B49" s="222">
        <v>10.999000000000001</v>
      </c>
      <c r="C49" s="23">
        <v>108.046875</v>
      </c>
      <c r="D49" s="245"/>
      <c r="E49" s="240"/>
      <c r="F49" s="618" t="s">
        <v>96</v>
      </c>
      <c r="G49" s="619"/>
      <c r="H49" s="25">
        <v>-0.375</v>
      </c>
      <c r="I49" s="25">
        <v>-0.5</v>
      </c>
      <c r="J49" s="25">
        <v>-0.5</v>
      </c>
      <c r="K49" s="25">
        <v>-0.75</v>
      </c>
      <c r="L49" s="25">
        <v>-0.75</v>
      </c>
      <c r="M49" s="25">
        <v>-0.75</v>
      </c>
      <c r="N49" s="25">
        <v>-0.75</v>
      </c>
      <c r="O49" s="25">
        <v>-1</v>
      </c>
      <c r="P49" s="26" t="s">
        <v>642</v>
      </c>
      <c r="Q49" s="240"/>
      <c r="R49" s="240"/>
      <c r="S49" s="960"/>
      <c r="T49" s="960"/>
      <c r="U49" s="960"/>
      <c r="V49" s="961"/>
      <c r="W49" s="240"/>
    </row>
    <row r="50" spans="1:23" x14ac:dyDescent="0.25">
      <c r="A50" s="239"/>
      <c r="B50" s="222">
        <v>11.125</v>
      </c>
      <c r="C50" s="23">
        <v>108.171875</v>
      </c>
      <c r="D50" s="245"/>
      <c r="E50" s="240"/>
      <c r="F50" s="618" t="s">
        <v>97</v>
      </c>
      <c r="G50" s="619"/>
      <c r="H50" s="25">
        <v>-0.25</v>
      </c>
      <c r="I50" s="25">
        <v>-0.25</v>
      </c>
      <c r="J50" s="25">
        <v>-0.25</v>
      </c>
      <c r="K50" s="25">
        <v>-0.5</v>
      </c>
      <c r="L50" s="25">
        <v>-0.5</v>
      </c>
      <c r="M50" s="25">
        <v>-0.5</v>
      </c>
      <c r="N50" s="25">
        <v>-0.5</v>
      </c>
      <c r="O50" s="25">
        <v>-0.5</v>
      </c>
      <c r="P50" s="26" t="s">
        <v>642</v>
      </c>
      <c r="Q50" s="240"/>
      <c r="R50" s="240"/>
      <c r="S50" s="960"/>
      <c r="T50" s="960"/>
      <c r="U50" s="960"/>
      <c r="V50" s="961"/>
      <c r="W50" s="267"/>
    </row>
    <row r="51" spans="1:23" ht="13.5" customHeight="1" x14ac:dyDescent="0.25">
      <c r="A51" s="240"/>
      <c r="B51" s="283"/>
      <c r="C51" s="284"/>
      <c r="D51" s="240"/>
      <c r="E51" s="246"/>
      <c r="F51" s="618" t="s">
        <v>98</v>
      </c>
      <c r="G51" s="619"/>
      <c r="H51" s="25">
        <v>-1</v>
      </c>
      <c r="I51" s="25">
        <v>-1</v>
      </c>
      <c r="J51" s="25">
        <v>-1</v>
      </c>
      <c r="K51" s="25">
        <v>-1</v>
      </c>
      <c r="L51" s="25">
        <v>-1.25</v>
      </c>
      <c r="M51" s="25">
        <v>-1.5</v>
      </c>
      <c r="N51" s="25" t="s">
        <v>642</v>
      </c>
      <c r="O51" s="25" t="s">
        <v>642</v>
      </c>
      <c r="P51" s="26" t="s">
        <v>642</v>
      </c>
      <c r="Q51" s="240"/>
      <c r="R51" s="246"/>
      <c r="S51" s="963"/>
      <c r="T51" s="964"/>
      <c r="U51" s="964"/>
      <c r="V51" s="965"/>
      <c r="W51" s="268"/>
    </row>
    <row r="52" spans="1:23" x14ac:dyDescent="0.25">
      <c r="A52" s="240"/>
      <c r="B52" s="285"/>
      <c r="C52" s="286"/>
      <c r="D52" s="240"/>
      <c r="E52" s="240"/>
      <c r="F52" s="618" t="s">
        <v>99</v>
      </c>
      <c r="G52" s="619"/>
      <c r="H52" s="25">
        <v>0</v>
      </c>
      <c r="I52" s="25">
        <v>0</v>
      </c>
      <c r="J52" s="25">
        <v>0</v>
      </c>
      <c r="K52" s="25">
        <v>0</v>
      </c>
      <c r="L52" s="25">
        <v>0</v>
      </c>
      <c r="M52" s="25">
        <v>0</v>
      </c>
      <c r="N52" s="25">
        <v>0</v>
      </c>
      <c r="O52" s="25">
        <v>0</v>
      </c>
      <c r="P52" s="26" t="s">
        <v>642</v>
      </c>
      <c r="Q52" s="240"/>
      <c r="R52" s="240"/>
      <c r="S52" s="952"/>
      <c r="T52" s="953"/>
      <c r="U52" s="953"/>
      <c r="V52" s="954"/>
      <c r="W52" s="268"/>
    </row>
    <row r="53" spans="1:23" x14ac:dyDescent="0.25">
      <c r="A53" s="240"/>
      <c r="B53" s="287"/>
      <c r="C53" s="288"/>
      <c r="D53" s="247"/>
      <c r="E53" s="240"/>
      <c r="F53" s="618" t="s">
        <v>100</v>
      </c>
      <c r="G53" s="619"/>
      <c r="H53" s="25">
        <v>-0.125</v>
      </c>
      <c r="I53" s="25">
        <v>-0.125</v>
      </c>
      <c r="J53" s="25">
        <v>-0.125</v>
      </c>
      <c r="K53" s="25">
        <v>-0.25</v>
      </c>
      <c r="L53" s="25">
        <v>-0.25</v>
      </c>
      <c r="M53" s="25">
        <v>-0.25</v>
      </c>
      <c r="N53" s="25">
        <v>-0.25</v>
      </c>
      <c r="O53" s="25" t="s">
        <v>642</v>
      </c>
      <c r="P53" s="26" t="s">
        <v>642</v>
      </c>
      <c r="Q53" s="240"/>
      <c r="R53" s="240"/>
      <c r="S53" s="955"/>
      <c r="T53" s="956"/>
      <c r="U53" s="956"/>
      <c r="V53" s="957"/>
      <c r="W53" s="268"/>
    </row>
    <row r="54" spans="1:23" ht="15.75" thickBot="1" x14ac:dyDescent="0.3">
      <c r="A54" s="240"/>
      <c r="B54" s="287"/>
      <c r="C54" s="288"/>
      <c r="D54" s="248"/>
      <c r="E54" s="249"/>
      <c r="F54" s="925" t="s">
        <v>58</v>
      </c>
      <c r="G54" s="926"/>
      <c r="H54" s="926"/>
      <c r="I54" s="926"/>
      <c r="J54" s="926"/>
      <c r="K54" s="926"/>
      <c r="L54" s="926"/>
      <c r="M54" s="926"/>
      <c r="N54" s="926"/>
      <c r="O54" s="926"/>
      <c r="P54" s="926"/>
      <c r="Q54" s="240"/>
      <c r="R54" s="240"/>
      <c r="S54" s="955"/>
      <c r="T54" s="956"/>
      <c r="U54" s="956"/>
      <c r="V54" s="957"/>
      <c r="W54" s="268"/>
    </row>
    <row r="55" spans="1:23" x14ac:dyDescent="0.25">
      <c r="A55" s="240"/>
      <c r="B55" s="280" t="s">
        <v>64</v>
      </c>
      <c r="C55" s="282" t="s">
        <v>101</v>
      </c>
      <c r="D55" s="248"/>
      <c r="E55" s="240"/>
      <c r="F55" s="950" t="s">
        <v>102</v>
      </c>
      <c r="G55" s="951"/>
      <c r="H55" s="206">
        <v>-1</v>
      </c>
      <c r="I55" s="206">
        <v>-1</v>
      </c>
      <c r="J55" s="206">
        <v>-1</v>
      </c>
      <c r="K55" s="206">
        <v>-1</v>
      </c>
      <c r="L55" s="206">
        <v>-1</v>
      </c>
      <c r="M55" s="206">
        <v>-1</v>
      </c>
      <c r="N55" s="206">
        <v>-1</v>
      </c>
      <c r="O55" s="206">
        <v>-1</v>
      </c>
      <c r="P55" s="207" t="s">
        <v>642</v>
      </c>
      <c r="Q55" s="240"/>
      <c r="R55" s="240"/>
      <c r="S55" s="939" t="s">
        <v>103</v>
      </c>
      <c r="T55" s="940"/>
      <c r="U55" s="280" t="s">
        <v>104</v>
      </c>
      <c r="V55" s="282" t="s">
        <v>105</v>
      </c>
      <c r="W55" s="268"/>
    </row>
    <row r="56" spans="1:23" x14ac:dyDescent="0.25">
      <c r="A56" s="240"/>
      <c r="B56" s="36" t="s">
        <v>106</v>
      </c>
      <c r="C56" s="37">
        <v>-0.25</v>
      </c>
      <c r="D56" s="250"/>
      <c r="E56" s="251"/>
      <c r="F56" s="873" t="s">
        <v>107</v>
      </c>
      <c r="G56" s="874"/>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73" t="s">
        <v>112</v>
      </c>
      <c r="G57" s="874"/>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34" t="s">
        <v>115</v>
      </c>
      <c r="C58" s="936"/>
      <c r="D58" s="253"/>
      <c r="E58" s="240"/>
      <c r="F58" s="873" t="s">
        <v>116</v>
      </c>
      <c r="G58" s="874"/>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47" t="s">
        <v>120</v>
      </c>
      <c r="C59" s="948"/>
      <c r="D59" s="251"/>
      <c r="E59" s="240"/>
      <c r="F59" s="873" t="s">
        <v>121</v>
      </c>
      <c r="G59" s="874"/>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63"/>
      <c r="C60" s="949"/>
      <c r="D60" s="251"/>
      <c r="E60" s="240"/>
      <c r="F60" s="873" t="s">
        <v>125</v>
      </c>
      <c r="G60" s="874"/>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63"/>
      <c r="C61" s="949"/>
      <c r="D61" s="254"/>
      <c r="E61" s="240"/>
      <c r="F61" s="873" t="s">
        <v>129</v>
      </c>
      <c r="G61" s="874"/>
      <c r="H61" s="87">
        <v>0.625</v>
      </c>
      <c r="I61" s="87">
        <v>0.625</v>
      </c>
      <c r="J61" s="87">
        <v>0.625</v>
      </c>
      <c r="K61" s="87">
        <v>0.625</v>
      </c>
      <c r="L61" s="87">
        <v>0.625</v>
      </c>
      <c r="M61" s="87">
        <v>0.625</v>
      </c>
      <c r="N61" s="87">
        <v>0.625</v>
      </c>
      <c r="O61" s="87">
        <v>0.625</v>
      </c>
      <c r="P61" s="26" t="s">
        <v>642</v>
      </c>
      <c r="Q61" s="240"/>
      <c r="R61" s="240"/>
      <c r="S61" s="934" t="s">
        <v>134</v>
      </c>
      <c r="T61" s="943"/>
      <c r="U61" s="42" t="s">
        <v>119</v>
      </c>
      <c r="V61" s="50">
        <v>4</v>
      </c>
      <c r="W61" s="268"/>
    </row>
    <row r="62" spans="1:23" x14ac:dyDescent="0.25">
      <c r="A62" s="240"/>
      <c r="B62" s="663"/>
      <c r="C62" s="949"/>
      <c r="D62" s="255"/>
      <c r="E62" s="240"/>
      <c r="F62" s="873" t="s">
        <v>131</v>
      </c>
      <c r="G62" s="874"/>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63"/>
      <c r="C63" s="949"/>
      <c r="D63" s="255"/>
      <c r="E63" s="240"/>
      <c r="F63" s="873" t="s">
        <v>133</v>
      </c>
      <c r="G63" s="874"/>
      <c r="H63" s="87">
        <v>-0.5</v>
      </c>
      <c r="I63" s="87">
        <v>-0.5</v>
      </c>
      <c r="J63" s="87">
        <v>-0.5</v>
      </c>
      <c r="K63" s="87">
        <v>-0.5</v>
      </c>
      <c r="L63" s="87">
        <v>-0.5</v>
      </c>
      <c r="M63" s="87">
        <v>-0.5</v>
      </c>
      <c r="N63" s="87">
        <v>-0.5</v>
      </c>
      <c r="O63" s="87">
        <v>-0.5</v>
      </c>
      <c r="P63" s="26" t="s">
        <v>642</v>
      </c>
      <c r="Q63" s="265"/>
      <c r="R63" s="246"/>
      <c r="S63" s="934" t="s">
        <v>139</v>
      </c>
      <c r="T63" s="943"/>
      <c r="U63" s="52" t="s">
        <v>135</v>
      </c>
      <c r="V63" s="53">
        <v>0.25</v>
      </c>
      <c r="W63" s="268"/>
    </row>
    <row r="64" spans="1:23" x14ac:dyDescent="0.25">
      <c r="A64" s="240"/>
      <c r="B64" s="663"/>
      <c r="C64" s="949"/>
      <c r="D64" s="251"/>
      <c r="E64" s="240"/>
      <c r="F64" s="873" t="s">
        <v>136</v>
      </c>
      <c r="G64" s="874"/>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63"/>
      <c r="C65" s="949"/>
      <c r="D65" s="251"/>
      <c r="E65" s="240"/>
      <c r="F65" s="873" t="s">
        <v>138</v>
      </c>
      <c r="G65" s="874"/>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63"/>
      <c r="C66" s="949"/>
      <c r="D66" s="256"/>
      <c r="E66" s="240"/>
      <c r="F66" s="941" t="s">
        <v>141</v>
      </c>
      <c r="G66" s="942"/>
      <c r="H66" s="103">
        <v>0.875</v>
      </c>
      <c r="I66" s="103">
        <v>0.875</v>
      </c>
      <c r="J66" s="103">
        <v>0.875</v>
      </c>
      <c r="K66" s="103">
        <v>0.875</v>
      </c>
      <c r="L66" s="103">
        <v>0.875</v>
      </c>
      <c r="M66" s="103">
        <v>0.875</v>
      </c>
      <c r="N66" s="103">
        <v>0.875</v>
      </c>
      <c r="O66" s="103">
        <v>0.875</v>
      </c>
      <c r="P66" s="208" t="s">
        <v>642</v>
      </c>
      <c r="Q66" s="264"/>
      <c r="R66" s="240"/>
      <c r="S66" s="934" t="s">
        <v>146</v>
      </c>
      <c r="T66" s="943"/>
      <c r="U66" s="57" t="s">
        <v>142</v>
      </c>
      <c r="V66" s="53">
        <v>0</v>
      </c>
      <c r="W66" s="240"/>
    </row>
    <row r="67" spans="1:34" ht="15.75" customHeight="1" x14ac:dyDescent="0.25">
      <c r="A67" s="240"/>
      <c r="B67" s="663"/>
      <c r="C67" s="949"/>
      <c r="D67" s="257"/>
      <c r="E67" s="240"/>
      <c r="F67" s="944" t="s">
        <v>143</v>
      </c>
      <c r="G67" s="945"/>
      <c r="H67" s="945"/>
      <c r="I67" s="945"/>
      <c r="J67" s="945"/>
      <c r="K67" s="945"/>
      <c r="L67" s="945"/>
      <c r="M67" s="945"/>
      <c r="N67" s="945"/>
      <c r="O67" s="945"/>
      <c r="P67" s="946"/>
      <c r="Q67" s="264"/>
      <c r="R67" s="240"/>
      <c r="S67" s="641" t="s">
        <v>149</v>
      </c>
      <c r="T67" s="642"/>
      <c r="U67" s="52" t="s">
        <v>144</v>
      </c>
      <c r="V67" s="53">
        <v>-0.5</v>
      </c>
      <c r="W67" s="240"/>
      <c r="Y67" s="3"/>
    </row>
    <row r="68" spans="1:34" x14ac:dyDescent="0.25">
      <c r="A68" s="240"/>
      <c r="B68" s="663"/>
      <c r="C68" s="949"/>
      <c r="D68" s="251"/>
      <c r="E68" s="240"/>
      <c r="F68" s="873" t="s">
        <v>145</v>
      </c>
      <c r="G68" s="874"/>
      <c r="H68" s="25">
        <v>-0.25</v>
      </c>
      <c r="I68" s="25">
        <v>-0.25</v>
      </c>
      <c r="J68" s="25">
        <v>-0.25</v>
      </c>
      <c r="K68" s="25">
        <v>-0.375</v>
      </c>
      <c r="L68" s="25">
        <v>-0.5</v>
      </c>
      <c r="M68" s="25">
        <v>-0.5</v>
      </c>
      <c r="N68" s="25">
        <v>-0.5</v>
      </c>
      <c r="O68" s="25" t="s">
        <v>642</v>
      </c>
      <c r="P68" s="26" t="s">
        <v>642</v>
      </c>
      <c r="Q68" s="240"/>
      <c r="R68" s="240"/>
      <c r="S68" s="641" t="s">
        <v>152</v>
      </c>
      <c r="T68" s="642"/>
      <c r="U68" s="52" t="s">
        <v>147</v>
      </c>
      <c r="V68" s="53">
        <v>0</v>
      </c>
      <c r="W68" s="240"/>
      <c r="Y68" s="3"/>
      <c r="AD68" s="3"/>
      <c r="AE68" s="3"/>
      <c r="AF68" s="3"/>
      <c r="AG68" s="3"/>
      <c r="AH68" s="3"/>
    </row>
    <row r="69" spans="1:34" x14ac:dyDescent="0.25">
      <c r="A69" s="240"/>
      <c r="B69" s="663"/>
      <c r="C69" s="949"/>
      <c r="D69" s="256"/>
      <c r="E69" s="240"/>
      <c r="F69" s="873" t="s">
        <v>148</v>
      </c>
      <c r="G69" s="874"/>
      <c r="H69" s="25">
        <v>-0.25</v>
      </c>
      <c r="I69" s="25">
        <v>-0.25</v>
      </c>
      <c r="J69" s="25">
        <v>-0.5</v>
      </c>
      <c r="K69" s="25">
        <v>-0.5</v>
      </c>
      <c r="L69" s="25">
        <v>-0.75</v>
      </c>
      <c r="M69" s="25">
        <v>-0.75</v>
      </c>
      <c r="N69" s="25">
        <v>-0.75</v>
      </c>
      <c r="O69" s="25">
        <v>-1.25</v>
      </c>
      <c r="P69" s="26" t="s">
        <v>642</v>
      </c>
      <c r="Q69" s="240"/>
      <c r="R69" s="240"/>
      <c r="S69" s="641" t="s">
        <v>155</v>
      </c>
      <c r="T69" s="642"/>
      <c r="U69" s="52" t="s">
        <v>150</v>
      </c>
      <c r="V69" s="53">
        <v>-0.5</v>
      </c>
      <c r="W69" s="240"/>
      <c r="X69" s="3"/>
      <c r="Y69" s="3"/>
      <c r="AD69" s="3"/>
      <c r="AE69" s="3"/>
      <c r="AF69" s="3"/>
      <c r="AG69" s="3"/>
      <c r="AH69" s="3"/>
    </row>
    <row r="70" spans="1:34" ht="15.75" customHeight="1" x14ac:dyDescent="0.25">
      <c r="A70" s="240"/>
      <c r="B70" s="663"/>
      <c r="C70" s="949"/>
      <c r="D70" s="258"/>
      <c r="E70" s="240"/>
      <c r="F70" s="873" t="s">
        <v>151</v>
      </c>
      <c r="G70" s="874"/>
      <c r="H70" s="25">
        <v>-0.25</v>
      </c>
      <c r="I70" s="25">
        <v>-0.25</v>
      </c>
      <c r="J70" s="25">
        <v>-0.25</v>
      </c>
      <c r="K70" s="25">
        <v>-0.25</v>
      </c>
      <c r="L70" s="25">
        <v>-0.25</v>
      </c>
      <c r="M70" s="25">
        <v>-0.25</v>
      </c>
      <c r="N70" s="25">
        <v>-0.5</v>
      </c>
      <c r="O70" s="25">
        <v>-0.5</v>
      </c>
      <c r="P70" s="26">
        <v>-0.5</v>
      </c>
      <c r="Q70" s="240"/>
      <c r="R70" s="240"/>
      <c r="S70" s="641" t="s">
        <v>158</v>
      </c>
      <c r="T70" s="642"/>
      <c r="U70" s="291"/>
      <c r="V70" s="292"/>
      <c r="W70" s="240"/>
      <c r="X70" s="3"/>
      <c r="Y70" s="3"/>
      <c r="AD70" s="3"/>
      <c r="AE70" s="3"/>
      <c r="AF70" s="3"/>
      <c r="AG70" s="3"/>
      <c r="AH70" s="3"/>
    </row>
    <row r="71" spans="1:34" ht="15" customHeight="1" x14ac:dyDescent="0.25">
      <c r="A71" s="240"/>
      <c r="B71" s="939" t="s">
        <v>153</v>
      </c>
      <c r="C71" s="940"/>
      <c r="D71" s="259"/>
      <c r="E71" s="240"/>
      <c r="F71" s="873" t="s">
        <v>154</v>
      </c>
      <c r="G71" s="874"/>
      <c r="H71" s="25">
        <v>0</v>
      </c>
      <c r="I71" s="25">
        <v>0</v>
      </c>
      <c r="J71" s="25">
        <v>-0.25</v>
      </c>
      <c r="K71" s="25">
        <v>-0.25</v>
      </c>
      <c r="L71" s="25">
        <v>-0.25</v>
      </c>
      <c r="M71" s="25">
        <v>-0.25</v>
      </c>
      <c r="N71" s="25">
        <v>-0.25</v>
      </c>
      <c r="O71" s="25">
        <v>-0.5</v>
      </c>
      <c r="P71" s="26" t="s">
        <v>642</v>
      </c>
      <c r="Q71" s="240"/>
      <c r="R71" s="240"/>
      <c r="S71" s="641" t="s">
        <v>161</v>
      </c>
      <c r="T71" s="642"/>
      <c r="U71" s="291"/>
      <c r="V71" s="292"/>
      <c r="W71" s="240"/>
      <c r="X71" s="3"/>
      <c r="Y71" s="3"/>
      <c r="AD71" s="3"/>
      <c r="AE71" s="3"/>
      <c r="AF71" s="3"/>
      <c r="AG71" s="3"/>
      <c r="AH71" s="3"/>
    </row>
    <row r="72" spans="1:34" ht="17.25" customHeight="1" x14ac:dyDescent="0.25">
      <c r="A72" s="240"/>
      <c r="B72" s="937" t="s">
        <v>156</v>
      </c>
      <c r="C72" s="938"/>
      <c r="D72" s="259"/>
      <c r="E72" s="240"/>
      <c r="F72" s="873" t="s">
        <v>157</v>
      </c>
      <c r="G72" s="874"/>
      <c r="H72" s="25">
        <v>-1.5</v>
      </c>
      <c r="I72" s="25">
        <v>-1.5</v>
      </c>
      <c r="J72" s="25">
        <v>-1.5</v>
      </c>
      <c r="K72" s="25">
        <v>-1.5</v>
      </c>
      <c r="L72" s="25">
        <v>-1.5</v>
      </c>
      <c r="M72" s="25">
        <v>-2</v>
      </c>
      <c r="N72" s="25">
        <v>-2.25</v>
      </c>
      <c r="O72" s="25">
        <v>-2.25</v>
      </c>
      <c r="P72" s="26" t="s">
        <v>642</v>
      </c>
      <c r="Q72" s="240"/>
      <c r="R72" s="240"/>
      <c r="S72" s="934" t="s">
        <v>163</v>
      </c>
      <c r="T72" s="935"/>
      <c r="U72" s="291"/>
      <c r="V72" s="292"/>
      <c r="W72" s="240"/>
      <c r="X72" s="3"/>
      <c r="Y72" s="3"/>
      <c r="AD72" s="3"/>
      <c r="AE72" s="3"/>
      <c r="AF72" s="3"/>
      <c r="AG72" s="3"/>
      <c r="AH72" s="3"/>
    </row>
    <row r="73" spans="1:34" ht="15" customHeight="1" x14ac:dyDescent="0.25">
      <c r="A73" s="240"/>
      <c r="B73" s="925" t="s">
        <v>159</v>
      </c>
      <c r="C73" s="926"/>
      <c r="D73" s="259"/>
      <c r="E73" s="246"/>
      <c r="F73" s="873" t="s">
        <v>160</v>
      </c>
      <c r="G73" s="874"/>
      <c r="H73" s="25">
        <v>-1.5</v>
      </c>
      <c r="I73" s="25">
        <v>-1.5</v>
      </c>
      <c r="J73" s="25">
        <v>-1.5</v>
      </c>
      <c r="K73" s="25">
        <v>-1.5</v>
      </c>
      <c r="L73" s="25">
        <v>-1.5</v>
      </c>
      <c r="M73" s="25">
        <v>-1.75</v>
      </c>
      <c r="N73" s="25" t="s">
        <v>642</v>
      </c>
      <c r="O73" s="25" t="s">
        <v>642</v>
      </c>
      <c r="P73" s="26" t="s">
        <v>642</v>
      </c>
      <c r="Q73" s="240"/>
      <c r="R73" s="240"/>
      <c r="S73" s="641" t="s">
        <v>164</v>
      </c>
      <c r="T73" s="642"/>
      <c r="U73" s="293"/>
      <c r="V73" s="294"/>
      <c r="W73" s="240"/>
      <c r="X73" s="3"/>
      <c r="Y73" s="3"/>
      <c r="AD73" s="3"/>
      <c r="AE73" s="3"/>
      <c r="AF73" s="3"/>
      <c r="AG73" s="3"/>
      <c r="AH73" s="3"/>
    </row>
    <row r="74" spans="1:34" ht="15" customHeight="1" x14ac:dyDescent="0.25">
      <c r="A74" s="240"/>
      <c r="B74" s="648" t="s">
        <v>162</v>
      </c>
      <c r="C74" s="648"/>
      <c r="D74" s="259"/>
      <c r="E74" s="246"/>
      <c r="F74" s="873" t="s">
        <v>69</v>
      </c>
      <c r="G74" s="874"/>
      <c r="H74" s="25">
        <v>-0.5</v>
      </c>
      <c r="I74" s="25">
        <v>-0.5</v>
      </c>
      <c r="J74" s="25">
        <v>-0.5</v>
      </c>
      <c r="K74" s="25">
        <v>-0.5</v>
      </c>
      <c r="L74" s="25">
        <v>-0.5</v>
      </c>
      <c r="M74" s="25">
        <v>-0.5</v>
      </c>
      <c r="N74" s="25">
        <v>-0.5</v>
      </c>
      <c r="O74" s="25">
        <v>-0.5</v>
      </c>
      <c r="P74" s="26">
        <v>-0.5</v>
      </c>
      <c r="Q74" s="240"/>
      <c r="R74" s="240"/>
      <c r="S74" s="641" t="s">
        <v>165</v>
      </c>
      <c r="T74" s="642"/>
      <c r="U74" s="293"/>
      <c r="V74" s="294"/>
      <c r="W74" s="240"/>
      <c r="X74" s="3"/>
      <c r="Y74" s="3"/>
      <c r="AD74" s="3"/>
      <c r="AE74" s="3"/>
      <c r="AF74" s="3"/>
      <c r="AG74" s="3"/>
      <c r="AH74" s="3"/>
    </row>
    <row r="75" spans="1:34" ht="15" customHeight="1" x14ac:dyDescent="0.25">
      <c r="A75" s="240"/>
      <c r="B75" s="648"/>
      <c r="C75" s="648"/>
      <c r="D75" s="259"/>
      <c r="E75" s="246"/>
      <c r="F75" s="934" t="s">
        <v>33</v>
      </c>
      <c r="G75" s="935"/>
      <c r="H75" s="935"/>
      <c r="I75" s="935"/>
      <c r="J75" s="935"/>
      <c r="K75" s="935"/>
      <c r="L75" s="935"/>
      <c r="M75" s="935"/>
      <c r="N75" s="935"/>
      <c r="O75" s="935"/>
      <c r="P75" s="936"/>
      <c r="Q75" s="240"/>
      <c r="R75" s="240"/>
      <c r="S75" s="646" t="s">
        <v>167</v>
      </c>
      <c r="T75" s="647"/>
      <c r="U75" s="293"/>
      <c r="V75" s="294"/>
      <c r="W75" s="240"/>
      <c r="X75" s="3"/>
      <c r="Y75" s="3"/>
      <c r="AD75" s="3"/>
      <c r="AE75" s="3"/>
      <c r="AF75" s="3"/>
      <c r="AG75" s="3"/>
      <c r="AH75" s="3"/>
    </row>
    <row r="76" spans="1:34" ht="15" customHeight="1" x14ac:dyDescent="0.25">
      <c r="A76" s="240"/>
      <c r="B76" s="648"/>
      <c r="C76" s="648"/>
      <c r="D76" s="259"/>
      <c r="E76" s="246"/>
      <c r="F76" s="873" t="s">
        <v>34</v>
      </c>
      <c r="G76" s="874"/>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48"/>
      <c r="C77" s="648"/>
      <c r="D77" s="259"/>
      <c r="E77" s="246"/>
      <c r="F77" s="873" t="s">
        <v>166</v>
      </c>
      <c r="G77" s="874"/>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48"/>
      <c r="C78" s="648"/>
      <c r="D78" s="259"/>
      <c r="E78" s="246"/>
      <c r="F78" s="873" t="s">
        <v>168</v>
      </c>
      <c r="G78" s="874"/>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48"/>
      <c r="C79" s="648"/>
      <c r="D79" s="259"/>
      <c r="E79" s="246"/>
      <c r="F79" s="873" t="s">
        <v>169</v>
      </c>
      <c r="G79" s="874"/>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73" t="s">
        <v>170</v>
      </c>
      <c r="G80" s="874"/>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25" t="s">
        <v>36</v>
      </c>
      <c r="G81" s="926"/>
      <c r="H81" s="926"/>
      <c r="I81" s="926"/>
      <c r="J81" s="926"/>
      <c r="K81" s="926"/>
      <c r="L81" s="926"/>
      <c r="M81" s="926"/>
      <c r="N81" s="926"/>
      <c r="O81" s="926"/>
      <c r="P81" s="927"/>
      <c r="Q81" s="240"/>
      <c r="R81" s="240"/>
      <c r="S81" s="298"/>
      <c r="T81" s="293"/>
      <c r="U81" s="293"/>
      <c r="V81" s="294"/>
      <c r="W81" s="240"/>
    </row>
    <row r="82" spans="1:23" ht="15" customHeight="1" x14ac:dyDescent="0.25">
      <c r="A82" s="240"/>
      <c r="B82" s="303"/>
      <c r="C82" s="292"/>
      <c r="D82" s="259"/>
      <c r="E82" s="246"/>
      <c r="F82" s="928" t="s">
        <v>171</v>
      </c>
      <c r="G82" s="929"/>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30" t="s">
        <v>172</v>
      </c>
      <c r="G83" s="931"/>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30" t="s">
        <v>173</v>
      </c>
      <c r="G84" s="931"/>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32" t="s">
        <v>174</v>
      </c>
      <c r="G85" s="933"/>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73" t="s">
        <v>0</v>
      </c>
      <c r="M1" s="673"/>
      <c r="N1" s="673"/>
      <c r="O1" s="673"/>
      <c r="P1" s="78"/>
      <c r="Q1" s="78"/>
      <c r="R1" s="78"/>
      <c r="S1" s="3"/>
      <c r="T1" s="3"/>
      <c r="U1" s="3"/>
    </row>
    <row r="2" spans="1:22" ht="17.45" customHeight="1" x14ac:dyDescent="0.25">
      <c r="I2" s="79"/>
      <c r="J2" s="79"/>
      <c r="K2" s="79"/>
      <c r="L2" s="674" t="s">
        <v>1</v>
      </c>
      <c r="M2" s="674"/>
      <c r="N2" s="674"/>
      <c r="O2" s="674"/>
      <c r="P2" s="79"/>
      <c r="Q2" s="78"/>
      <c r="R2" s="78"/>
      <c r="S2" s="3"/>
      <c r="T2" s="3"/>
      <c r="U2" s="3"/>
      <c r="V2" s="80"/>
    </row>
    <row r="3" spans="1:22" ht="17.45" customHeight="1" x14ac:dyDescent="0.25">
      <c r="I3" s="79"/>
      <c r="J3" s="79"/>
      <c r="K3" s="79"/>
      <c r="L3" s="674" t="s">
        <v>2</v>
      </c>
      <c r="M3" s="674"/>
      <c r="N3" s="674"/>
      <c r="O3" s="674"/>
      <c r="P3" s="79"/>
      <c r="Q3" s="79"/>
      <c r="R3" s="79"/>
      <c r="V3" s="81"/>
    </row>
    <row r="4" spans="1:22" ht="17.45" customHeight="1" x14ac:dyDescent="0.25">
      <c r="H4" s="9"/>
      <c r="I4" s="9"/>
      <c r="J4" s="9"/>
      <c r="K4" s="82"/>
      <c r="L4" s="83"/>
      <c r="M4" s="83"/>
      <c r="N4" s="638"/>
      <c r="O4" s="638"/>
      <c r="R4" s="3"/>
      <c r="S4" s="3"/>
    </row>
    <row r="5" spans="1:22" ht="17.45" customHeight="1" thickBot="1" x14ac:dyDescent="0.3">
      <c r="H5" s="9"/>
      <c r="I5" s="9"/>
      <c r="J5" s="9"/>
      <c r="K5" s="10"/>
      <c r="L5" s="638" t="s">
        <v>3</v>
      </c>
      <c r="M5" s="638"/>
      <c r="N5" s="638">
        <v>45869</v>
      </c>
      <c r="O5" s="638"/>
      <c r="R5" s="3"/>
      <c r="S5" s="3"/>
    </row>
    <row r="6" spans="1:22" ht="17.45" customHeight="1" x14ac:dyDescent="0.25">
      <c r="A6" s="240"/>
      <c r="B6" s="968" t="s">
        <v>4</v>
      </c>
      <c r="C6" s="992"/>
      <c r="D6" s="969"/>
      <c r="E6" s="336"/>
      <c r="F6" s="968" t="s">
        <v>175</v>
      </c>
      <c r="G6" s="992"/>
      <c r="H6" s="992"/>
      <c r="I6" s="992"/>
      <c r="J6" s="992"/>
      <c r="K6" s="992"/>
      <c r="L6" s="992"/>
      <c r="M6" s="992"/>
      <c r="N6" s="992"/>
      <c r="O6" s="969"/>
      <c r="P6" s="240"/>
      <c r="Q6" s="972" t="s">
        <v>5</v>
      </c>
      <c r="R6" s="973"/>
      <c r="S6" s="973"/>
      <c r="T6" s="974"/>
      <c r="U6" s="240"/>
    </row>
    <row r="7" spans="1:22" ht="17.45" customHeight="1" thickBot="1" x14ac:dyDescent="0.3">
      <c r="A7" s="240"/>
      <c r="B7" s="970"/>
      <c r="C7" s="993"/>
      <c r="D7" s="971"/>
      <c r="E7" s="337"/>
      <c r="F7" s="970"/>
      <c r="G7" s="993"/>
      <c r="H7" s="993"/>
      <c r="I7" s="993"/>
      <c r="J7" s="993"/>
      <c r="K7" s="993"/>
      <c r="L7" s="993"/>
      <c r="M7" s="993"/>
      <c r="N7" s="993"/>
      <c r="O7" s="971"/>
      <c r="P7" s="240"/>
      <c r="Q7" s="978"/>
      <c r="R7" s="979"/>
      <c r="S7" s="979"/>
      <c r="T7" s="980"/>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81" t="s">
        <v>6</v>
      </c>
      <c r="C9" s="994"/>
      <c r="D9" s="982"/>
      <c r="E9" s="265"/>
      <c r="F9" s="983" t="s">
        <v>7</v>
      </c>
      <c r="G9" s="984"/>
      <c r="H9" s="984"/>
      <c r="I9" s="984"/>
      <c r="J9" s="984"/>
      <c r="K9" s="984"/>
      <c r="L9" s="984"/>
      <c r="M9" s="984"/>
      <c r="N9" s="984"/>
      <c r="O9" s="985"/>
      <c r="P9" s="240"/>
      <c r="Q9" s="272"/>
      <c r="R9" s="273"/>
      <c r="S9" s="274" t="s">
        <v>8</v>
      </c>
      <c r="T9" s="275"/>
      <c r="U9" s="240"/>
    </row>
    <row r="10" spans="1:22" ht="15" customHeight="1" x14ac:dyDescent="0.25">
      <c r="A10" s="240"/>
      <c r="B10" s="276" t="s">
        <v>9</v>
      </c>
      <c r="C10" s="277" t="s">
        <v>176</v>
      </c>
      <c r="D10" s="278" t="s">
        <v>177</v>
      </c>
      <c r="E10" s="261"/>
      <c r="F10" s="868" t="s">
        <v>11</v>
      </c>
      <c r="G10" s="869"/>
      <c r="H10" s="277" t="s">
        <v>12</v>
      </c>
      <c r="I10" s="277" t="s">
        <v>13</v>
      </c>
      <c r="J10" s="277" t="s">
        <v>14</v>
      </c>
      <c r="K10" s="277" t="s">
        <v>15</v>
      </c>
      <c r="L10" s="277" t="s">
        <v>16</v>
      </c>
      <c r="M10" s="277" t="s">
        <v>17</v>
      </c>
      <c r="N10" s="277" t="s">
        <v>18</v>
      </c>
      <c r="O10" s="278" t="s">
        <v>19</v>
      </c>
      <c r="P10" s="240"/>
      <c r="Q10" s="870" t="s">
        <v>21</v>
      </c>
      <c r="R10" s="871"/>
      <c r="S10" s="84">
        <v>6.25</v>
      </c>
      <c r="T10" s="316"/>
      <c r="U10" s="240"/>
    </row>
    <row r="11" spans="1:22" ht="14.25" customHeight="1" x14ac:dyDescent="0.25">
      <c r="A11" s="240"/>
      <c r="B11" s="223">
        <v>6.25</v>
      </c>
      <c r="C11" s="308"/>
      <c r="D11" s="224"/>
      <c r="E11" s="245"/>
      <c r="F11" s="835" t="s">
        <v>22</v>
      </c>
      <c r="G11" s="836">
        <v>0</v>
      </c>
      <c r="H11" s="17">
        <v>0.625</v>
      </c>
      <c r="I11" s="17">
        <v>0.5</v>
      </c>
      <c r="J11" s="17">
        <v>0.5</v>
      </c>
      <c r="K11" s="17">
        <v>0.5</v>
      </c>
      <c r="L11" s="17">
        <v>0.375</v>
      </c>
      <c r="M11" s="17">
        <v>0.125</v>
      </c>
      <c r="N11" s="17">
        <v>-0.125</v>
      </c>
      <c r="O11" s="18">
        <v>-1.75</v>
      </c>
      <c r="P11" s="240"/>
      <c r="Q11" s="820" t="s">
        <v>23</v>
      </c>
      <c r="R11" s="821"/>
      <c r="S11" s="19" t="s">
        <v>31</v>
      </c>
      <c r="T11" s="317"/>
      <c r="U11" s="240"/>
    </row>
    <row r="12" spans="1:22" ht="15" customHeight="1" x14ac:dyDescent="0.25">
      <c r="A12" s="240"/>
      <c r="B12" s="223">
        <v>6.375</v>
      </c>
      <c r="C12" s="225"/>
      <c r="D12" s="224"/>
      <c r="E12" s="245"/>
      <c r="F12" s="835" t="s">
        <v>24</v>
      </c>
      <c r="G12" s="836">
        <v>0</v>
      </c>
      <c r="H12" s="21">
        <v>0.5</v>
      </c>
      <c r="I12" s="21">
        <v>0.5</v>
      </c>
      <c r="J12" s="17">
        <v>0.5</v>
      </c>
      <c r="K12" s="21">
        <v>0.375</v>
      </c>
      <c r="L12" s="21">
        <v>0.25</v>
      </c>
      <c r="M12" s="17">
        <v>0</v>
      </c>
      <c r="N12" s="17">
        <v>-0.375</v>
      </c>
      <c r="O12" s="18">
        <v>-2</v>
      </c>
      <c r="P12" s="240"/>
      <c r="Q12" s="820" t="s">
        <v>25</v>
      </c>
      <c r="R12" s="821"/>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835" t="s">
        <v>26</v>
      </c>
      <c r="G13" s="836">
        <v>0</v>
      </c>
      <c r="H13" s="21">
        <v>0.5</v>
      </c>
      <c r="I13" s="21">
        <v>0.375</v>
      </c>
      <c r="J13" s="17">
        <v>0.375</v>
      </c>
      <c r="K13" s="21">
        <v>0.25</v>
      </c>
      <c r="L13" s="21">
        <v>0</v>
      </c>
      <c r="M13" s="17">
        <v>-0.375</v>
      </c>
      <c r="N13" s="17">
        <v>-0.5</v>
      </c>
      <c r="O13" s="18">
        <v>-2.25</v>
      </c>
      <c r="P13" s="240"/>
      <c r="Q13" s="820" t="s">
        <v>27</v>
      </c>
      <c r="R13" s="821"/>
      <c r="S13" s="19" t="s">
        <v>181</v>
      </c>
      <c r="T13" s="317" t="e">
        <f>IF(OR($S$11="", $S$13=""), "",
   INDEX($H$23:$O$28,
         MATCH($S$13,$F$23:$F$28,0),
         MATCH($S$11,$H$10:$O$10,0)))</f>
        <v>#N/A</v>
      </c>
      <c r="U13" s="240"/>
    </row>
    <row r="14" spans="1:22" ht="15.75" customHeight="1" x14ac:dyDescent="0.25">
      <c r="A14" s="240"/>
      <c r="B14" s="223">
        <v>6.625</v>
      </c>
      <c r="C14" s="17">
        <v>99.53125</v>
      </c>
      <c r="D14" s="224"/>
      <c r="E14" s="245"/>
      <c r="F14" s="835" t="s">
        <v>29</v>
      </c>
      <c r="G14" s="836">
        <v>0</v>
      </c>
      <c r="H14" s="21">
        <v>0.375</v>
      </c>
      <c r="I14" s="21">
        <v>0.25</v>
      </c>
      <c r="J14" s="17">
        <v>0.25</v>
      </c>
      <c r="K14" s="21">
        <v>0</v>
      </c>
      <c r="L14" s="21">
        <v>-0.375</v>
      </c>
      <c r="M14" s="17">
        <v>-0.5</v>
      </c>
      <c r="N14" s="17">
        <v>-1</v>
      </c>
      <c r="O14" s="18">
        <v>-2.75</v>
      </c>
      <c r="P14" s="240"/>
      <c r="Q14" s="820" t="s">
        <v>30</v>
      </c>
      <c r="R14" s="821"/>
      <c r="S14" s="19" t="s">
        <v>31</v>
      </c>
      <c r="T14" s="317" t="e">
        <f>'Feed(WS)'!$O$180</f>
        <v>#REF!</v>
      </c>
      <c r="U14" s="240"/>
      <c r="V14" s="20"/>
    </row>
    <row r="15" spans="1:22" ht="15" customHeight="1" x14ac:dyDescent="0.25">
      <c r="A15" s="240"/>
      <c r="B15" s="223">
        <v>6.75</v>
      </c>
      <c r="C15" s="17">
        <v>99.96875</v>
      </c>
      <c r="D15" s="224"/>
      <c r="E15" s="245"/>
      <c r="F15" s="835" t="s">
        <v>32</v>
      </c>
      <c r="G15" s="836">
        <v>0</v>
      </c>
      <c r="H15" s="21">
        <v>0.25</v>
      </c>
      <c r="I15" s="21">
        <v>0</v>
      </c>
      <c r="J15" s="17">
        <v>0</v>
      </c>
      <c r="K15" s="21">
        <v>-0.375</v>
      </c>
      <c r="L15" s="21">
        <v>-0.5</v>
      </c>
      <c r="M15" s="17">
        <v>-1</v>
      </c>
      <c r="N15" s="17">
        <v>-1.5</v>
      </c>
      <c r="O15" s="224" t="s">
        <v>642</v>
      </c>
      <c r="P15" s="240"/>
      <c r="Q15" s="820" t="s">
        <v>33</v>
      </c>
      <c r="R15" s="821"/>
      <c r="S15" s="19" t="s">
        <v>34</v>
      </c>
      <c r="T15" s="317" t="e">
        <f>IF(OR($S$11="", $S$15=""), "",
   INDEX($H$71:$O$75,
         MATCH($S$15,$F$71:$F$75,0),
         MATCH($S$11,$H$10:$O$10,0)))</f>
        <v>#N/A</v>
      </c>
      <c r="U15" s="240"/>
      <c r="V15" s="20"/>
    </row>
    <row r="16" spans="1:22" ht="14.25" customHeight="1" x14ac:dyDescent="0.25">
      <c r="A16" s="240"/>
      <c r="B16" s="223">
        <v>6.875</v>
      </c>
      <c r="C16" s="17">
        <v>100.390625</v>
      </c>
      <c r="D16" s="224"/>
      <c r="E16" s="245"/>
      <c r="F16" s="835" t="s">
        <v>35</v>
      </c>
      <c r="G16" s="836">
        <v>0</v>
      </c>
      <c r="H16" s="21">
        <v>0</v>
      </c>
      <c r="I16" s="21">
        <v>-0.375</v>
      </c>
      <c r="J16" s="17">
        <v>-0.375</v>
      </c>
      <c r="K16" s="21">
        <v>-0.5</v>
      </c>
      <c r="L16" s="21">
        <v>-1</v>
      </c>
      <c r="M16" s="17">
        <v>-1.5</v>
      </c>
      <c r="N16" s="17">
        <v>-2.5</v>
      </c>
      <c r="O16" s="224" t="s">
        <v>642</v>
      </c>
      <c r="P16" s="240"/>
      <c r="Q16" s="820" t="s">
        <v>36</v>
      </c>
      <c r="R16" s="821"/>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835" t="s">
        <v>38</v>
      </c>
      <c r="G17" s="836">
        <v>0</v>
      </c>
      <c r="H17" s="21">
        <v>-0.5</v>
      </c>
      <c r="I17" s="21">
        <v>-0.5</v>
      </c>
      <c r="J17" s="17">
        <v>-0.5</v>
      </c>
      <c r="K17" s="21">
        <v>-1</v>
      </c>
      <c r="L17" s="21">
        <v>-1.5</v>
      </c>
      <c r="M17" s="17">
        <v>-2.25</v>
      </c>
      <c r="N17" s="225" t="s">
        <v>642</v>
      </c>
      <c r="O17" s="224" t="s">
        <v>642</v>
      </c>
      <c r="P17" s="240"/>
      <c r="Q17" s="820" t="s">
        <v>39</v>
      </c>
      <c r="R17" s="821"/>
      <c r="S17" s="19" t="s">
        <v>176</v>
      </c>
      <c r="T17" s="317">
        <v>0</v>
      </c>
      <c r="U17" s="240"/>
      <c r="V17" s="20"/>
    </row>
    <row r="18" spans="1:26" ht="15" customHeight="1" x14ac:dyDescent="0.25">
      <c r="A18" s="240"/>
      <c r="B18" s="223">
        <v>7.125</v>
      </c>
      <c r="C18" s="17">
        <v>101.171875</v>
      </c>
      <c r="D18" s="224"/>
      <c r="E18" s="245"/>
      <c r="F18" s="835" t="s">
        <v>40</v>
      </c>
      <c r="G18" s="836">
        <v>0</v>
      </c>
      <c r="H18" s="21">
        <v>-1</v>
      </c>
      <c r="I18" s="21">
        <v>-1.25</v>
      </c>
      <c r="J18" s="17">
        <v>-1.25</v>
      </c>
      <c r="K18" s="21">
        <v>-1.75</v>
      </c>
      <c r="L18" s="21">
        <v>-2.25</v>
      </c>
      <c r="M18" s="17">
        <v>-3.25</v>
      </c>
      <c r="N18" s="225" t="s">
        <v>642</v>
      </c>
      <c r="O18" s="224" t="s">
        <v>642</v>
      </c>
      <c r="P18" s="240"/>
      <c r="Q18" s="820" t="s">
        <v>41</v>
      </c>
      <c r="R18" s="821"/>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835" t="s">
        <v>42</v>
      </c>
      <c r="G19" s="836">
        <v>0</v>
      </c>
      <c r="H19" s="21">
        <v>-1.75</v>
      </c>
      <c r="I19" s="21">
        <v>-2</v>
      </c>
      <c r="J19" s="17">
        <v>-2</v>
      </c>
      <c r="K19" s="21">
        <v>-2.5</v>
      </c>
      <c r="L19" s="21">
        <v>-3</v>
      </c>
      <c r="M19" s="225" t="s">
        <v>642</v>
      </c>
      <c r="N19" s="225" t="s">
        <v>642</v>
      </c>
      <c r="O19" s="224" t="s">
        <v>642</v>
      </c>
      <c r="P19" s="240"/>
      <c r="Q19" s="820" t="s">
        <v>43</v>
      </c>
      <c r="R19" s="821"/>
      <c r="S19" s="19" t="s">
        <v>216</v>
      </c>
      <c r="T19" s="317" t="e">
        <f>'Feed(WS)'!$R$175</f>
        <v>#REF!</v>
      </c>
      <c r="U19" s="240"/>
      <c r="V19" s="20"/>
    </row>
    <row r="20" spans="1:26" ht="15.75" customHeight="1" x14ac:dyDescent="0.25">
      <c r="A20" s="240"/>
      <c r="B20" s="223">
        <v>7.375</v>
      </c>
      <c r="C20" s="17">
        <v>101.921875</v>
      </c>
      <c r="D20" s="224"/>
      <c r="E20" s="245"/>
      <c r="F20" s="868"/>
      <c r="G20" s="869"/>
      <c r="H20" s="277"/>
      <c r="I20" s="277"/>
      <c r="J20" s="277"/>
      <c r="K20" s="277"/>
      <c r="L20" s="277"/>
      <c r="M20" s="277"/>
      <c r="N20" s="277"/>
      <c r="O20" s="278"/>
      <c r="P20" s="240"/>
      <c r="Q20" s="820" t="s">
        <v>45</v>
      </c>
      <c r="R20" s="821"/>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2"/>
      <c r="G21" s="953"/>
      <c r="H21" s="953"/>
      <c r="I21" s="953"/>
      <c r="J21" s="953"/>
      <c r="K21" s="953"/>
      <c r="L21" s="953"/>
      <c r="M21" s="953"/>
      <c r="N21" s="953"/>
      <c r="O21" s="954"/>
      <c r="P21" s="240"/>
      <c r="Q21" s="820" t="s">
        <v>46</v>
      </c>
      <c r="R21" s="821"/>
      <c r="S21" s="19" t="s">
        <v>68</v>
      </c>
      <c r="T21" s="317" t="e">
        <f>IF(OR($S$11="", $S$21=""), "",
   INDEX($H$30:$O$34,
         MATCH($S$21,$F$30:$F$34,0),
         MATCH($S$11,$H$10:$O$10,0)))</f>
        <v>#N/A</v>
      </c>
      <c r="U21" s="240"/>
      <c r="V21" s="20"/>
    </row>
    <row r="22" spans="1:26" x14ac:dyDescent="0.25">
      <c r="A22" s="240"/>
      <c r="B22" s="223">
        <v>7.625</v>
      </c>
      <c r="C22" s="17">
        <v>102.578125</v>
      </c>
      <c r="D22" s="18">
        <v>99</v>
      </c>
      <c r="E22" s="245"/>
      <c r="F22" s="939" t="s">
        <v>27</v>
      </c>
      <c r="G22" s="962"/>
      <c r="H22" s="962"/>
      <c r="I22" s="962"/>
      <c r="J22" s="962"/>
      <c r="K22" s="962"/>
      <c r="L22" s="962"/>
      <c r="M22" s="962"/>
      <c r="N22" s="962"/>
      <c r="O22" s="940"/>
      <c r="P22" s="240"/>
      <c r="Q22" s="820" t="s">
        <v>47</v>
      </c>
      <c r="R22" s="821"/>
      <c r="S22" s="19" t="s">
        <v>67</v>
      </c>
      <c r="T22" s="317">
        <v>0</v>
      </c>
      <c r="U22" s="991"/>
      <c r="V22" s="20"/>
    </row>
    <row r="23" spans="1:26" x14ac:dyDescent="0.25">
      <c r="A23" s="240"/>
      <c r="B23" s="223">
        <v>7.75</v>
      </c>
      <c r="C23" s="17">
        <v>102.859375</v>
      </c>
      <c r="D23" s="18">
        <v>99.25</v>
      </c>
      <c r="E23" s="245"/>
      <c r="F23" s="627" t="s">
        <v>179</v>
      </c>
      <c r="G23" s="628"/>
      <c r="H23" s="21">
        <v>0.5</v>
      </c>
      <c r="I23" s="21">
        <v>0.5</v>
      </c>
      <c r="J23" s="21">
        <v>0.5</v>
      </c>
      <c r="K23" s="21">
        <v>0.5</v>
      </c>
      <c r="L23" s="21">
        <v>0.5</v>
      </c>
      <c r="M23" s="21">
        <v>0.5</v>
      </c>
      <c r="N23" s="21" t="s">
        <v>642</v>
      </c>
      <c r="O23" s="22" t="s">
        <v>642</v>
      </c>
      <c r="P23" s="240"/>
      <c r="Q23" s="820" t="s">
        <v>49</v>
      </c>
      <c r="R23" s="821"/>
      <c r="S23" s="19" t="s">
        <v>238</v>
      </c>
      <c r="T23" s="317">
        <v>0</v>
      </c>
      <c r="U23" s="991"/>
      <c r="V23" s="20"/>
      <c r="Z23" s="27"/>
    </row>
    <row r="24" spans="1:26" ht="15.75" customHeight="1" x14ac:dyDescent="0.25">
      <c r="A24" s="240"/>
      <c r="B24" s="223">
        <v>7.875</v>
      </c>
      <c r="C24" s="17">
        <v>103.140625</v>
      </c>
      <c r="D24" s="18">
        <v>99.5</v>
      </c>
      <c r="E24" s="245"/>
      <c r="F24" s="627" t="s">
        <v>180</v>
      </c>
      <c r="G24" s="628"/>
      <c r="H24" s="21">
        <v>0</v>
      </c>
      <c r="I24" s="21">
        <v>0</v>
      </c>
      <c r="J24" s="21">
        <v>0</v>
      </c>
      <c r="K24" s="21">
        <v>0</v>
      </c>
      <c r="L24" s="21">
        <v>0</v>
      </c>
      <c r="M24" s="21">
        <v>0</v>
      </c>
      <c r="N24" s="21">
        <v>0</v>
      </c>
      <c r="O24" s="22">
        <v>0</v>
      </c>
      <c r="P24" s="240"/>
      <c r="Q24" s="820" t="s">
        <v>50</v>
      </c>
      <c r="R24" s="821"/>
      <c r="S24" s="19" t="s">
        <v>31</v>
      </c>
      <c r="T24" s="317" t="e">
        <f>'Feed(WS)'!$P$175</f>
        <v>#REF!</v>
      </c>
      <c r="U24" s="991"/>
      <c r="V24" s="20"/>
      <c r="Z24" s="27"/>
    </row>
    <row r="25" spans="1:26" ht="15.75" customHeight="1" x14ac:dyDescent="0.25">
      <c r="A25" s="240"/>
      <c r="B25" s="223">
        <v>7.9989999999999997</v>
      </c>
      <c r="C25" s="17">
        <v>103.421875</v>
      </c>
      <c r="D25" s="18">
        <v>100</v>
      </c>
      <c r="E25" s="245"/>
      <c r="F25" s="627" t="s">
        <v>181</v>
      </c>
      <c r="G25" s="628"/>
      <c r="H25" s="21">
        <v>0</v>
      </c>
      <c r="I25" s="21">
        <v>0</v>
      </c>
      <c r="J25" s="21">
        <v>0</v>
      </c>
      <c r="K25" s="21">
        <v>0</v>
      </c>
      <c r="L25" s="21">
        <v>0</v>
      </c>
      <c r="M25" s="21">
        <v>0</v>
      </c>
      <c r="N25" s="21">
        <v>0</v>
      </c>
      <c r="O25" s="21">
        <v>0</v>
      </c>
      <c r="P25" s="240"/>
      <c r="Q25" s="820" t="s">
        <v>52</v>
      </c>
      <c r="R25" s="821"/>
      <c r="S25" s="19" t="s">
        <v>53</v>
      </c>
      <c r="T25" s="317" t="e">
        <f>'Feed(WS)'!$O$175</f>
        <v>#REF!</v>
      </c>
      <c r="U25" s="991"/>
      <c r="V25" s="20"/>
    </row>
    <row r="26" spans="1:26" x14ac:dyDescent="0.25">
      <c r="A26" s="240"/>
      <c r="B26" s="223">
        <v>8.125</v>
      </c>
      <c r="C26" s="17">
        <v>103.703125</v>
      </c>
      <c r="D26" s="18">
        <v>100.25</v>
      </c>
      <c r="E26" s="245"/>
      <c r="F26" s="627" t="s">
        <v>182</v>
      </c>
      <c r="G26" s="628"/>
      <c r="H26" s="21">
        <v>-2</v>
      </c>
      <c r="I26" s="21">
        <v>-2</v>
      </c>
      <c r="J26" s="21">
        <v>-2</v>
      </c>
      <c r="K26" s="21">
        <v>-2</v>
      </c>
      <c r="L26" s="21">
        <v>-2</v>
      </c>
      <c r="M26" s="21">
        <v>-2</v>
      </c>
      <c r="N26" s="21" t="s">
        <v>642</v>
      </c>
      <c r="O26" s="22" t="s">
        <v>642</v>
      </c>
      <c r="P26" s="240"/>
      <c r="Q26" s="820" t="s">
        <v>55</v>
      </c>
      <c r="R26" s="821"/>
      <c r="S26" s="19" t="s">
        <v>56</v>
      </c>
      <c r="T26" s="317" t="e">
        <f>'Feed(WS)'!$Q$180</f>
        <v>#REF!</v>
      </c>
      <c r="U26" s="991"/>
      <c r="V26" s="20"/>
    </row>
    <row r="27" spans="1:26" ht="15.75" customHeight="1" x14ac:dyDescent="0.25">
      <c r="A27" s="240"/>
      <c r="B27" s="223">
        <v>8.25</v>
      </c>
      <c r="C27" s="17">
        <v>103.984375</v>
      </c>
      <c r="D27" s="18">
        <v>100.5</v>
      </c>
      <c r="E27" s="245"/>
      <c r="F27" s="627" t="s">
        <v>183</v>
      </c>
      <c r="G27" s="628"/>
      <c r="H27" s="21">
        <v>-3</v>
      </c>
      <c r="I27" s="21">
        <v>-3</v>
      </c>
      <c r="J27" s="21">
        <v>-3</v>
      </c>
      <c r="K27" s="21">
        <v>-3</v>
      </c>
      <c r="L27" s="21">
        <v>-3</v>
      </c>
      <c r="M27" s="21" t="s">
        <v>642</v>
      </c>
      <c r="N27" s="21" t="s">
        <v>642</v>
      </c>
      <c r="O27" s="22" t="s">
        <v>642</v>
      </c>
      <c r="P27" s="240"/>
      <c r="Q27" s="820" t="s">
        <v>58</v>
      </c>
      <c r="R27" s="821"/>
      <c r="S27" s="19" t="s">
        <v>31</v>
      </c>
      <c r="T27" s="317">
        <f>IF($S$11="", "",
   IF($S$27="Choose a Selection",0,
      INDEX($H$51:$O$62,
           MATCH($S$27,$F$51:$F$62,0),
           MATCH($S$11,$H$10:$O$10,0))))</f>
        <v>0</v>
      </c>
      <c r="U27" s="991"/>
      <c r="V27" s="20"/>
      <c r="W27" s="3"/>
      <c r="X27" s="3"/>
      <c r="Y27" s="3"/>
    </row>
    <row r="28" spans="1:26" ht="15.75" customHeight="1" x14ac:dyDescent="0.25">
      <c r="A28" s="240"/>
      <c r="B28" s="223">
        <v>8.375</v>
      </c>
      <c r="C28" s="17">
        <v>104.265625</v>
      </c>
      <c r="D28" s="18">
        <v>100.75</v>
      </c>
      <c r="E28" s="245"/>
      <c r="F28" s="627" t="s">
        <v>184</v>
      </c>
      <c r="G28" s="628"/>
      <c r="H28" s="21">
        <v>-0.5</v>
      </c>
      <c r="I28" s="21">
        <v>-0.5</v>
      </c>
      <c r="J28" s="21">
        <v>-0.5</v>
      </c>
      <c r="K28" s="21">
        <v>-0.5</v>
      </c>
      <c r="L28" s="21">
        <v>-0.5</v>
      </c>
      <c r="M28" s="21">
        <v>-0.5</v>
      </c>
      <c r="N28" s="21">
        <v>-0.5</v>
      </c>
      <c r="O28" s="22" t="s">
        <v>642</v>
      </c>
      <c r="P28" s="240"/>
      <c r="Q28" s="820" t="s">
        <v>60</v>
      </c>
      <c r="R28" s="821"/>
      <c r="S28" s="19"/>
      <c r="T28" s="317">
        <v>0</v>
      </c>
      <c r="U28" s="991"/>
      <c r="V28" s="20"/>
      <c r="W28" s="3"/>
      <c r="X28" s="3"/>
      <c r="Y28" s="3"/>
    </row>
    <row r="29" spans="1:26" x14ac:dyDescent="0.25">
      <c r="A29" s="240"/>
      <c r="B29" s="223">
        <v>8.4990000000000006</v>
      </c>
      <c r="C29" s="17">
        <v>104.546875</v>
      </c>
      <c r="D29" s="18">
        <v>101</v>
      </c>
      <c r="E29" s="245"/>
      <c r="F29" s="939" t="s">
        <v>47</v>
      </c>
      <c r="G29" s="962"/>
      <c r="H29" s="962"/>
      <c r="I29" s="962"/>
      <c r="J29" s="962"/>
      <c r="K29" s="962"/>
      <c r="L29" s="962"/>
      <c r="M29" s="962"/>
      <c r="N29" s="962"/>
      <c r="O29" s="940"/>
      <c r="P29" s="240"/>
      <c r="Q29" s="820" t="s">
        <v>62</v>
      </c>
      <c r="R29" s="821"/>
      <c r="S29" s="19" t="s">
        <v>31</v>
      </c>
      <c r="T29" s="317" t="e">
        <f>'Feed(WS)'!$O$185</f>
        <v>#REF!</v>
      </c>
      <c r="U29" s="991"/>
      <c r="V29" s="20"/>
      <c r="W29" s="28"/>
      <c r="X29" s="28"/>
      <c r="Y29" s="28"/>
    </row>
    <row r="30" spans="1:26" x14ac:dyDescent="0.25">
      <c r="A30" s="240"/>
      <c r="B30" s="223">
        <v>8.625</v>
      </c>
      <c r="C30" s="17">
        <v>104.796875</v>
      </c>
      <c r="D30" s="18">
        <v>101.25</v>
      </c>
      <c r="E30" s="245"/>
      <c r="F30" s="873" t="s">
        <v>68</v>
      </c>
      <c r="G30" s="874"/>
      <c r="H30" s="21">
        <v>0</v>
      </c>
      <c r="I30" s="21">
        <v>0</v>
      </c>
      <c r="J30" s="21">
        <v>0</v>
      </c>
      <c r="K30" s="21">
        <v>0</v>
      </c>
      <c r="L30" s="21">
        <v>0</v>
      </c>
      <c r="M30" s="21">
        <v>0</v>
      </c>
      <c r="N30" s="21">
        <v>0</v>
      </c>
      <c r="O30" s="22">
        <v>0</v>
      </c>
      <c r="P30" s="240"/>
      <c r="Q30" s="820" t="s">
        <v>64</v>
      </c>
      <c r="R30" s="821"/>
      <c r="S30" s="29" t="s">
        <v>65</v>
      </c>
      <c r="T30" s="317" t="e">
        <f>'Feed(WS)'!$R$180</f>
        <v>#REF!</v>
      </c>
      <c r="U30" s="991"/>
      <c r="V30" s="20"/>
    </row>
    <row r="31" spans="1:26" x14ac:dyDescent="0.25">
      <c r="A31" s="240"/>
      <c r="B31" s="223">
        <v>8.75</v>
      </c>
      <c r="C31" s="17">
        <v>105.046875</v>
      </c>
      <c r="D31" s="18">
        <v>101.5</v>
      </c>
      <c r="E31" s="245"/>
      <c r="F31" s="873" t="s">
        <v>70</v>
      </c>
      <c r="G31" s="874"/>
      <c r="H31" s="21">
        <v>0</v>
      </c>
      <c r="I31" s="21">
        <v>0</v>
      </c>
      <c r="J31" s="21">
        <v>0</v>
      </c>
      <c r="K31" s="21">
        <v>0</v>
      </c>
      <c r="L31" s="21">
        <v>-0.25</v>
      </c>
      <c r="M31" s="21">
        <v>-0.375</v>
      </c>
      <c r="N31" s="21">
        <v>-0.5</v>
      </c>
      <c r="O31" s="22">
        <v>-0.5</v>
      </c>
      <c r="P31" s="240"/>
      <c r="Q31" s="820" t="s">
        <v>66</v>
      </c>
      <c r="R31" s="821"/>
      <c r="S31" s="29" t="s">
        <v>67</v>
      </c>
      <c r="T31" s="317" cm="1">
        <f t="array" ref="T31">IF(OR(
      AND(OR($S$31='Feed(WS)'!$R$4:$R$5), $S$21&lt;&gt;'Feed(WS)'!$J$3),
      AND(OR($S$31='Feed(WS)'!$R$4:$R$5), $S$25&lt;&gt;'Feed(WS)'!$M$4),
      AND(OR($S$31='Feed(WS)'!$R$4:$R$5), $S$21&lt;&gt;'Feed(WS)'!$L$3:$L$4),
   ),
   NA(),
   0)</f>
        <v>0</v>
      </c>
      <c r="U31" s="991"/>
      <c r="V31" s="20"/>
    </row>
    <row r="32" spans="1:26" x14ac:dyDescent="0.25">
      <c r="A32" s="240"/>
      <c r="B32" s="223">
        <v>8.875</v>
      </c>
      <c r="C32" s="17">
        <v>105.296875</v>
      </c>
      <c r="D32" s="18">
        <v>101.75</v>
      </c>
      <c r="E32" s="245"/>
      <c r="F32" s="873" t="s">
        <v>72</v>
      </c>
      <c r="G32" s="874"/>
      <c r="H32" s="21">
        <v>-0.125</v>
      </c>
      <c r="I32" s="21">
        <v>-0.125</v>
      </c>
      <c r="J32" s="21">
        <v>-0.375</v>
      </c>
      <c r="K32" s="21">
        <v>-0.5</v>
      </c>
      <c r="L32" s="21">
        <v>-0.75</v>
      </c>
      <c r="M32" s="21">
        <v>-1</v>
      </c>
      <c r="N32" s="21" t="s">
        <v>642</v>
      </c>
      <c r="O32" s="22" t="s">
        <v>642</v>
      </c>
      <c r="P32" s="240"/>
      <c r="Q32" s="820" t="s">
        <v>69</v>
      </c>
      <c r="R32" s="821"/>
      <c r="S32" s="29" t="s">
        <v>67</v>
      </c>
      <c r="T32" s="317">
        <v>0</v>
      </c>
      <c r="U32" s="991"/>
      <c r="V32" s="20"/>
    </row>
    <row r="33" spans="1:26" ht="15.75" customHeight="1" x14ac:dyDescent="0.25">
      <c r="A33" s="240"/>
      <c r="B33" s="223">
        <v>8.9990000000000006</v>
      </c>
      <c r="C33" s="17">
        <v>105.546875</v>
      </c>
      <c r="D33" s="18">
        <v>102.25</v>
      </c>
      <c r="E33" s="245"/>
      <c r="F33" s="873" t="s">
        <v>75</v>
      </c>
      <c r="G33" s="874"/>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91"/>
      <c r="V33" s="20"/>
    </row>
    <row r="34" spans="1:26" x14ac:dyDescent="0.25">
      <c r="A34" s="240"/>
      <c r="B34" s="223">
        <v>9.125</v>
      </c>
      <c r="C34" s="17">
        <v>105.796875</v>
      </c>
      <c r="D34" s="18">
        <v>102.5</v>
      </c>
      <c r="E34" s="245"/>
      <c r="F34" s="873" t="s">
        <v>76</v>
      </c>
      <c r="G34" s="874"/>
      <c r="H34" s="21">
        <v>-0.5</v>
      </c>
      <c r="I34" s="21">
        <v>-0.5</v>
      </c>
      <c r="J34" s="21">
        <v>-0.625</v>
      </c>
      <c r="K34" s="21">
        <v>-0.75</v>
      </c>
      <c r="L34" s="21">
        <v>-1</v>
      </c>
      <c r="M34" s="21">
        <v>-1.25</v>
      </c>
      <c r="N34" s="21" t="s">
        <v>642</v>
      </c>
      <c r="O34" s="22" t="s">
        <v>642</v>
      </c>
      <c r="P34" s="240"/>
      <c r="Q34" s="230" t="s">
        <v>73</v>
      </c>
      <c r="R34" s="231"/>
      <c r="S34" s="30" t="s">
        <v>74</v>
      </c>
      <c r="T34" s="317">
        <v>0</v>
      </c>
      <c r="U34" s="991"/>
      <c r="V34" s="20"/>
    </row>
    <row r="35" spans="1:26" ht="15.75" customHeight="1" x14ac:dyDescent="0.25">
      <c r="A35" s="240"/>
      <c r="B35" s="223">
        <v>9.25</v>
      </c>
      <c r="C35" s="17">
        <v>105.921875</v>
      </c>
      <c r="D35" s="18">
        <v>102.75</v>
      </c>
      <c r="E35" s="245"/>
      <c r="F35" s="939" t="s">
        <v>78</v>
      </c>
      <c r="G35" s="962"/>
      <c r="H35" s="962"/>
      <c r="I35" s="962"/>
      <c r="J35" s="962"/>
      <c r="K35" s="962"/>
      <c r="L35" s="962"/>
      <c r="M35" s="962"/>
      <c r="N35" s="962"/>
      <c r="O35" s="940"/>
      <c r="P35" s="240"/>
      <c r="Q35" s="820" t="s">
        <v>207</v>
      </c>
      <c r="R35" s="821"/>
      <c r="S35" s="30" t="str">
        <f>IF(V36=0,'Feed(WS)'!Y4,'Feed(WS)'!Y5)</f>
        <v>Not Applicable</v>
      </c>
      <c r="T35" s="317" t="b">
        <f>'Feed(WS)'!$Z$1</f>
        <v>0</v>
      </c>
      <c r="U35" s="991"/>
      <c r="V35" s="20"/>
    </row>
    <row r="36" spans="1:26" x14ac:dyDescent="0.25">
      <c r="A36" s="240"/>
      <c r="B36" s="223">
        <v>9.375</v>
      </c>
      <c r="C36" s="17">
        <v>106.046875</v>
      </c>
      <c r="D36" s="18">
        <v>103</v>
      </c>
      <c r="E36" s="245"/>
      <c r="F36" s="873" t="s">
        <v>80</v>
      </c>
      <c r="G36" s="874"/>
      <c r="H36" s="21">
        <v>-0.25</v>
      </c>
      <c r="I36" s="21">
        <v>-0.5</v>
      </c>
      <c r="J36" s="21">
        <v>-0.5</v>
      </c>
      <c r="K36" s="21">
        <v>-0.5</v>
      </c>
      <c r="L36" s="21">
        <v>-0.75</v>
      </c>
      <c r="M36" s="21">
        <v>-1</v>
      </c>
      <c r="N36" s="21">
        <v>-1.25</v>
      </c>
      <c r="O36" s="22">
        <v>-1.5</v>
      </c>
      <c r="P36" s="240"/>
      <c r="Q36" s="822" t="s">
        <v>77</v>
      </c>
      <c r="R36" s="823"/>
      <c r="S36" s="824"/>
      <c r="T36" s="233" t="e">
        <f>SUM($T$12:$T$35)</f>
        <v>#N/A</v>
      </c>
      <c r="U36" s="991"/>
      <c r="V36" s="20"/>
    </row>
    <row r="37" spans="1:26" ht="15.75" customHeight="1" x14ac:dyDescent="0.25">
      <c r="A37" s="240"/>
      <c r="B37" s="223">
        <v>9.4990000000000006</v>
      </c>
      <c r="C37" s="17">
        <v>106.171875</v>
      </c>
      <c r="D37" s="18">
        <v>103.25</v>
      </c>
      <c r="E37" s="245"/>
      <c r="F37" s="873" t="s">
        <v>82</v>
      </c>
      <c r="G37" s="874"/>
      <c r="H37" s="21">
        <v>0</v>
      </c>
      <c r="I37" s="21">
        <v>0</v>
      </c>
      <c r="J37" s="21">
        <v>0</v>
      </c>
      <c r="K37" s="21">
        <v>0</v>
      </c>
      <c r="L37" s="21">
        <v>0</v>
      </c>
      <c r="M37" s="21">
        <v>0</v>
      </c>
      <c r="N37" s="21">
        <v>-0.25</v>
      </c>
      <c r="O37" s="22">
        <v>-0.5</v>
      </c>
      <c r="P37" s="240"/>
      <c r="Q37" s="822" t="s">
        <v>79</v>
      </c>
      <c r="R37" s="823"/>
      <c r="S37" s="824"/>
      <c r="T37" s="233" cm="1">
        <f t="array" ref="T37">IF(AND($S$24='Feed(WS)'!$K$6,$S$17='Feed(WS)'!$D$5),INDEX($B$10:$D$50,MATCH($S$10,$B$10:$B$50,0),MATCH($S$24,$B$10:$D$10,0)),INDEX($B$10:$D$50,MATCH($S$10,$B$10:$B$50,0),MATCH($S$17,$B$10:$D$10,0)+1))</f>
        <v>0</v>
      </c>
      <c r="U37" s="991"/>
      <c r="V37" s="20"/>
      <c r="Z37" s="28"/>
    </row>
    <row r="38" spans="1:26" ht="15.75" customHeight="1" x14ac:dyDescent="0.25">
      <c r="A38" s="240"/>
      <c r="B38" s="223">
        <v>9.625</v>
      </c>
      <c r="C38" s="17">
        <v>106.296875</v>
      </c>
      <c r="D38" s="18">
        <v>103.5</v>
      </c>
      <c r="E38" s="245"/>
      <c r="F38" s="873" t="s">
        <v>84</v>
      </c>
      <c r="G38" s="874"/>
      <c r="H38" s="21">
        <v>0</v>
      </c>
      <c r="I38" s="21">
        <v>0</v>
      </c>
      <c r="J38" s="21">
        <v>0</v>
      </c>
      <c r="K38" s="21">
        <v>0</v>
      </c>
      <c r="L38" s="21">
        <v>0</v>
      </c>
      <c r="M38" s="21">
        <v>0</v>
      </c>
      <c r="N38" s="21">
        <v>0</v>
      </c>
      <c r="O38" s="22">
        <v>0</v>
      </c>
      <c r="P38" s="240"/>
      <c r="Q38" s="822" t="s">
        <v>81</v>
      </c>
      <c r="R38" s="823"/>
      <c r="S38" s="824"/>
      <c r="T38" s="233" t="str">
        <f>IFERROR(IF(AND($U$10&lt;&gt;'Feed(WS)'!$K$134,$T$39=$T$64),NA(),$T$37+$T$36),"#N/A")</f>
        <v>#N/A</v>
      </c>
      <c r="U38" s="991"/>
      <c r="V38" s="20"/>
    </row>
    <row r="39" spans="1:26" ht="15.75" customHeight="1" x14ac:dyDescent="0.25">
      <c r="A39" s="240"/>
      <c r="B39" s="223">
        <v>9.75</v>
      </c>
      <c r="C39" s="17">
        <v>106.421875</v>
      </c>
      <c r="D39" s="18">
        <v>103.75</v>
      </c>
      <c r="E39" s="245"/>
      <c r="F39" s="627" t="s">
        <v>86</v>
      </c>
      <c r="G39" s="628"/>
      <c r="H39" s="21">
        <v>0.375</v>
      </c>
      <c r="I39" s="21">
        <v>0.25</v>
      </c>
      <c r="J39" s="21">
        <v>0.25</v>
      </c>
      <c r="K39" s="21">
        <v>0.25</v>
      </c>
      <c r="L39" s="21">
        <v>0.25</v>
      </c>
      <c r="M39" s="21">
        <v>0</v>
      </c>
      <c r="N39" s="21">
        <v>0</v>
      </c>
      <c r="O39" s="22">
        <v>0</v>
      </c>
      <c r="P39" s="240"/>
      <c r="Q39" s="822" t="s">
        <v>83</v>
      </c>
      <c r="R39" s="823"/>
      <c r="S39" s="824"/>
      <c r="T39" s="233" t="e">
        <f>IF(OR('Feed(WS)'!$E$147=0, ISERROR('Feed(WS)'!$E$147)), NA(), 'Feed(WS)'!$E$147)</f>
        <v>#N/A</v>
      </c>
      <c r="U39" s="991"/>
      <c r="V39" s="20"/>
    </row>
    <row r="40" spans="1:26" ht="14.25" customHeight="1" x14ac:dyDescent="0.25">
      <c r="A40" s="240"/>
      <c r="B40" s="223">
        <v>9.875</v>
      </c>
      <c r="C40" s="17">
        <v>106.546875</v>
      </c>
      <c r="D40" s="18">
        <v>104</v>
      </c>
      <c r="E40" s="245"/>
      <c r="F40" s="627" t="s">
        <v>87</v>
      </c>
      <c r="G40" s="628"/>
      <c r="H40" s="21">
        <v>0</v>
      </c>
      <c r="I40" s="21">
        <v>0</v>
      </c>
      <c r="J40" s="21">
        <v>0</v>
      </c>
      <c r="K40" s="21">
        <v>0</v>
      </c>
      <c r="L40" s="21">
        <v>0</v>
      </c>
      <c r="M40" s="21">
        <v>0</v>
      </c>
      <c r="N40" s="21">
        <v>0</v>
      </c>
      <c r="O40" s="22">
        <v>0</v>
      </c>
      <c r="P40" s="240"/>
      <c r="Q40" s="829" t="s">
        <v>85</v>
      </c>
      <c r="R40" s="830"/>
      <c r="S40" s="860"/>
      <c r="T40" s="234" t="e">
        <f>IF(OR($T$36="#NA",$T$37="#NA"),NA(),IF(AND($U$9&lt;&gt;'Feed(WS)'!$K$134,$T$39=$T$64),NA(),IF($T$38&gt;$T$39,$T$39,$T$38)))</f>
        <v>#N/A</v>
      </c>
      <c r="U40" s="991"/>
      <c r="V40" s="20"/>
    </row>
    <row r="41" spans="1:26" ht="14.25" customHeight="1" x14ac:dyDescent="0.25">
      <c r="A41" s="240"/>
      <c r="B41" s="223">
        <v>9.9990000000000006</v>
      </c>
      <c r="C41" s="17">
        <v>106.671875</v>
      </c>
      <c r="D41" s="18">
        <v>104.25</v>
      </c>
      <c r="E41" s="245"/>
      <c r="F41" s="627" t="s">
        <v>89</v>
      </c>
      <c r="G41" s="628"/>
      <c r="H41" s="21">
        <v>-0.125</v>
      </c>
      <c r="I41" s="21">
        <v>-0.125</v>
      </c>
      <c r="J41" s="21">
        <v>-0.125</v>
      </c>
      <c r="K41" s="21">
        <v>-0.25</v>
      </c>
      <c r="L41" s="21">
        <v>-0.25</v>
      </c>
      <c r="M41" s="21">
        <v>-0.25</v>
      </c>
      <c r="N41" s="21">
        <v>-0.5</v>
      </c>
      <c r="O41" s="22" t="s">
        <v>642</v>
      </c>
      <c r="P41" s="240"/>
      <c r="Q41" s="829" t="str" cm="1">
        <f t="array" ref="Q41">IF(OR($S$11:$S$25="Choose a Selection"),"",CONCATENATE('Feed(WS)'!$I$134," ",'Feed(WS)'!$K$134,"%"&amp;" @ "&amp;'Feed(WS)'!$L$134))</f>
        <v/>
      </c>
      <c r="R41" s="830"/>
      <c r="S41" s="830"/>
      <c r="T41" s="831"/>
      <c r="U41" s="991"/>
      <c r="V41" s="20"/>
    </row>
    <row r="42" spans="1:26" ht="15.75" customHeight="1" x14ac:dyDescent="0.25">
      <c r="A42" s="240"/>
      <c r="B42" s="223">
        <v>10.125</v>
      </c>
      <c r="C42" s="17">
        <v>106.796875</v>
      </c>
      <c r="D42" s="18">
        <v>104.5</v>
      </c>
      <c r="E42" s="245"/>
      <c r="F42" s="627" t="s">
        <v>90</v>
      </c>
      <c r="G42" s="628"/>
      <c r="H42" s="21">
        <v>-0.375</v>
      </c>
      <c r="I42" s="21">
        <v>-0.375</v>
      </c>
      <c r="J42" s="21">
        <v>-0.5</v>
      </c>
      <c r="K42" s="21">
        <v>-0.5</v>
      </c>
      <c r="L42" s="21">
        <v>-0.5</v>
      </c>
      <c r="M42" s="21">
        <v>-0.5</v>
      </c>
      <c r="N42" s="21">
        <v>-0.75</v>
      </c>
      <c r="O42" s="22" t="s">
        <v>642</v>
      </c>
      <c r="P42" s="240"/>
      <c r="Q42" s="958" t="s">
        <v>88</v>
      </c>
      <c r="R42" s="958"/>
      <c r="S42" s="958"/>
      <c r="T42" s="959"/>
      <c r="U42" s="991"/>
      <c r="V42" s="20"/>
    </row>
    <row r="43" spans="1:26" ht="14.25" customHeight="1" x14ac:dyDescent="0.25">
      <c r="A43" s="240"/>
      <c r="B43" s="223">
        <v>10.25</v>
      </c>
      <c r="C43" s="17">
        <v>106.921875</v>
      </c>
      <c r="D43" s="18">
        <v>104.75</v>
      </c>
      <c r="E43" s="245"/>
      <c r="F43" s="627" t="s">
        <v>91</v>
      </c>
      <c r="G43" s="628"/>
      <c r="H43" s="21">
        <v>-1</v>
      </c>
      <c r="I43" s="21">
        <v>-1</v>
      </c>
      <c r="J43" s="21">
        <v>-1</v>
      </c>
      <c r="K43" s="21">
        <v>-1</v>
      </c>
      <c r="L43" s="21">
        <v>-1.25</v>
      </c>
      <c r="M43" s="21">
        <v>-1.5</v>
      </c>
      <c r="N43" s="21" t="s">
        <v>642</v>
      </c>
      <c r="O43" s="22" t="s">
        <v>642</v>
      </c>
      <c r="P43" s="240"/>
      <c r="Q43" s="960"/>
      <c r="R43" s="960"/>
      <c r="S43" s="960"/>
      <c r="T43" s="961"/>
      <c r="U43" s="991"/>
      <c r="V43" s="20"/>
    </row>
    <row r="44" spans="1:26" ht="15.75" customHeight="1" x14ac:dyDescent="0.25">
      <c r="A44" s="240"/>
      <c r="B44" s="223">
        <v>10.375</v>
      </c>
      <c r="C44" s="17">
        <v>107.046875</v>
      </c>
      <c r="D44" s="18">
        <v>105</v>
      </c>
      <c r="E44" s="245"/>
      <c r="F44" s="627" t="s">
        <v>92</v>
      </c>
      <c r="G44" s="628"/>
      <c r="H44" s="21">
        <v>-2</v>
      </c>
      <c r="I44" s="21">
        <v>-2.25</v>
      </c>
      <c r="J44" s="21">
        <v>-2.5</v>
      </c>
      <c r="K44" s="21">
        <v>-3</v>
      </c>
      <c r="L44" s="21" t="s">
        <v>642</v>
      </c>
      <c r="M44" s="21" t="s">
        <v>642</v>
      </c>
      <c r="N44" s="21" t="s">
        <v>642</v>
      </c>
      <c r="O44" s="22" t="s">
        <v>642</v>
      </c>
      <c r="P44" s="240"/>
      <c r="Q44" s="960"/>
      <c r="R44" s="960"/>
      <c r="S44" s="960"/>
      <c r="T44" s="961"/>
      <c r="U44" s="991"/>
      <c r="V44" s="20"/>
    </row>
    <row r="45" spans="1:26" ht="14.25" customHeight="1" x14ac:dyDescent="0.25">
      <c r="A45" s="240"/>
      <c r="B45" s="223">
        <v>10.499000000000001</v>
      </c>
      <c r="C45" s="17">
        <v>107.171875</v>
      </c>
      <c r="D45" s="18">
        <v>105.25</v>
      </c>
      <c r="E45" s="245"/>
      <c r="F45" s="939" t="s">
        <v>185</v>
      </c>
      <c r="G45" s="962"/>
      <c r="H45" s="962"/>
      <c r="I45" s="962"/>
      <c r="J45" s="962"/>
      <c r="K45" s="962"/>
      <c r="L45" s="962"/>
      <c r="M45" s="962"/>
      <c r="N45" s="962"/>
      <c r="O45" s="940"/>
      <c r="P45" s="240"/>
      <c r="Q45" s="960"/>
      <c r="R45" s="960"/>
      <c r="S45" s="960"/>
      <c r="T45" s="961"/>
      <c r="U45" s="991"/>
      <c r="V45" s="20"/>
    </row>
    <row r="46" spans="1:26" ht="14.25" customHeight="1" x14ac:dyDescent="0.25">
      <c r="A46" s="240"/>
      <c r="B46" s="223">
        <v>10.625</v>
      </c>
      <c r="C46" s="17">
        <v>107.296875</v>
      </c>
      <c r="D46" s="18">
        <v>105.5</v>
      </c>
      <c r="E46" s="245"/>
      <c r="F46" s="873" t="s">
        <v>98</v>
      </c>
      <c r="G46" s="874"/>
      <c r="H46" s="21">
        <v>-1</v>
      </c>
      <c r="I46" s="21">
        <v>-1</v>
      </c>
      <c r="J46" s="21">
        <v>-1</v>
      </c>
      <c r="K46" s="21">
        <v>-1</v>
      </c>
      <c r="L46" s="21">
        <v>-1</v>
      </c>
      <c r="M46" s="21">
        <v>-1.5</v>
      </c>
      <c r="N46" s="21" t="s">
        <v>642</v>
      </c>
      <c r="O46" s="22" t="s">
        <v>642</v>
      </c>
      <c r="P46" s="240"/>
      <c r="Q46" s="966"/>
      <c r="R46" s="966"/>
      <c r="S46" s="966"/>
      <c r="T46" s="967"/>
      <c r="U46" s="991"/>
      <c r="V46" s="20"/>
    </row>
    <row r="47" spans="1:26" ht="14.25" customHeight="1" x14ac:dyDescent="0.25">
      <c r="A47" s="240"/>
      <c r="B47" s="223">
        <v>10.75</v>
      </c>
      <c r="C47" s="17">
        <v>107.421875</v>
      </c>
      <c r="D47" s="18">
        <v>105.75</v>
      </c>
      <c r="E47" s="245"/>
      <c r="F47" s="873" t="s">
        <v>186</v>
      </c>
      <c r="G47" s="874"/>
      <c r="H47" s="21">
        <v>-0.5</v>
      </c>
      <c r="I47" s="21">
        <v>-0.5</v>
      </c>
      <c r="J47" s="21">
        <v>-0.5</v>
      </c>
      <c r="K47" s="21">
        <v>-0.5</v>
      </c>
      <c r="L47" s="21">
        <v>-0.625</v>
      </c>
      <c r="M47" s="21">
        <v>-0.75</v>
      </c>
      <c r="N47" s="21">
        <v>-1</v>
      </c>
      <c r="O47" s="22" t="s">
        <v>642</v>
      </c>
      <c r="P47" s="240"/>
      <c r="Q47" s="958" t="s">
        <v>94</v>
      </c>
      <c r="R47" s="958"/>
      <c r="S47" s="958"/>
      <c r="T47" s="959"/>
      <c r="U47" s="991"/>
      <c r="V47" s="20"/>
    </row>
    <row r="48" spans="1:26" ht="15.75" customHeight="1" x14ac:dyDescent="0.25">
      <c r="A48" s="240"/>
      <c r="B48" s="223">
        <v>10.875</v>
      </c>
      <c r="C48" s="17">
        <v>107.546875</v>
      </c>
      <c r="D48" s="18">
        <v>106</v>
      </c>
      <c r="E48" s="245"/>
      <c r="F48" s="873" t="s">
        <v>99</v>
      </c>
      <c r="G48" s="874"/>
      <c r="H48" s="21">
        <v>0</v>
      </c>
      <c r="I48" s="21">
        <v>0</v>
      </c>
      <c r="J48" s="21">
        <v>0</v>
      </c>
      <c r="K48" s="21">
        <v>0</v>
      </c>
      <c r="L48" s="21">
        <v>0</v>
      </c>
      <c r="M48" s="21">
        <v>0</v>
      </c>
      <c r="N48" s="21">
        <v>0</v>
      </c>
      <c r="O48" s="22" t="s">
        <v>642</v>
      </c>
      <c r="P48" s="240"/>
      <c r="Q48" s="960"/>
      <c r="R48" s="960"/>
      <c r="S48" s="960"/>
      <c r="T48" s="961"/>
      <c r="U48" s="338"/>
      <c r="V48" s="20"/>
    </row>
    <row r="49" spans="1:22" ht="15.75" customHeight="1" x14ac:dyDescent="0.25">
      <c r="A49" s="240"/>
      <c r="B49" s="223">
        <v>10.999000000000001</v>
      </c>
      <c r="C49" s="17">
        <v>107.671875</v>
      </c>
      <c r="D49" s="18">
        <v>106.25</v>
      </c>
      <c r="E49" s="245"/>
      <c r="F49" s="873" t="s">
        <v>100</v>
      </c>
      <c r="G49" s="874"/>
      <c r="H49" s="21">
        <v>-0.25</v>
      </c>
      <c r="I49" s="21">
        <v>-0.25</v>
      </c>
      <c r="J49" s="21">
        <v>-0.25</v>
      </c>
      <c r="K49" s="21">
        <v>-0.25</v>
      </c>
      <c r="L49" s="21">
        <v>-0.25</v>
      </c>
      <c r="M49" s="21">
        <v>-0.25</v>
      </c>
      <c r="N49" s="21">
        <v>-0.25</v>
      </c>
      <c r="O49" s="22" t="s">
        <v>642</v>
      </c>
      <c r="P49" s="240"/>
      <c r="Q49" s="960"/>
      <c r="R49" s="960"/>
      <c r="S49" s="960"/>
      <c r="T49" s="961"/>
      <c r="U49" s="246"/>
      <c r="V49" s="20"/>
    </row>
    <row r="50" spans="1:22" x14ac:dyDescent="0.25">
      <c r="A50" s="240"/>
      <c r="B50" s="223">
        <v>11.125</v>
      </c>
      <c r="C50" s="17">
        <v>107.796875</v>
      </c>
      <c r="D50" s="18">
        <v>106.5</v>
      </c>
      <c r="E50" s="245"/>
      <c r="F50" s="873" t="s">
        <v>195</v>
      </c>
      <c r="G50" s="874"/>
      <c r="H50" s="21">
        <v>0</v>
      </c>
      <c r="I50" s="21">
        <v>0</v>
      </c>
      <c r="J50" s="21">
        <v>0</v>
      </c>
      <c r="K50" s="21">
        <v>0</v>
      </c>
      <c r="L50" s="21">
        <v>0</v>
      </c>
      <c r="M50" s="21">
        <v>0</v>
      </c>
      <c r="N50" s="21">
        <v>0</v>
      </c>
      <c r="O50" s="22" t="s">
        <v>642</v>
      </c>
      <c r="P50" s="240"/>
      <c r="Q50" s="960"/>
      <c r="R50" s="960"/>
      <c r="S50" s="960"/>
      <c r="T50" s="961"/>
      <c r="U50" s="240"/>
      <c r="V50" s="20"/>
    </row>
    <row r="51" spans="1:22" ht="13.5" customHeight="1" x14ac:dyDescent="0.25">
      <c r="A51" s="240"/>
      <c r="B51" s="324"/>
      <c r="C51" s="324"/>
      <c r="D51" s="324"/>
      <c r="E51" s="240"/>
      <c r="F51" s="939" t="s">
        <v>58</v>
      </c>
      <c r="G51" s="962"/>
      <c r="H51" s="962"/>
      <c r="I51" s="962"/>
      <c r="J51" s="962"/>
      <c r="K51" s="962"/>
      <c r="L51" s="962"/>
      <c r="M51" s="962"/>
      <c r="N51" s="962"/>
      <c r="O51" s="940"/>
      <c r="P51" s="246"/>
      <c r="Q51" s="324"/>
      <c r="R51" s="324"/>
      <c r="S51" s="324"/>
      <c r="T51" s="324"/>
      <c r="U51" s="240"/>
    </row>
    <row r="52" spans="1:22" ht="15.75" customHeight="1" x14ac:dyDescent="0.25">
      <c r="A52" s="240"/>
      <c r="B52" s="325"/>
      <c r="C52" s="325"/>
      <c r="D52" s="325"/>
      <c r="E52" s="240"/>
      <c r="F52" s="627" t="s">
        <v>102</v>
      </c>
      <c r="G52" s="628"/>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27" t="s">
        <v>107</v>
      </c>
      <c r="G53" s="628"/>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27" t="s">
        <v>112</v>
      </c>
      <c r="G54" s="628"/>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89" t="s">
        <v>64</v>
      </c>
      <c r="C55" s="989"/>
      <c r="D55" s="289" t="s">
        <v>101</v>
      </c>
      <c r="E55" s="248"/>
      <c r="F55" s="627" t="s">
        <v>116</v>
      </c>
      <c r="G55" s="628"/>
      <c r="H55" s="87">
        <v>-0.5</v>
      </c>
      <c r="I55" s="87">
        <v>-0.5</v>
      </c>
      <c r="J55" s="87">
        <v>-0.5</v>
      </c>
      <c r="K55" s="87">
        <v>-0.5</v>
      </c>
      <c r="L55" s="87">
        <v>-0.5</v>
      </c>
      <c r="M55" s="87">
        <v>-0.5</v>
      </c>
      <c r="N55" s="87">
        <v>-0.5</v>
      </c>
      <c r="O55" s="88">
        <v>-0.5</v>
      </c>
      <c r="P55" s="240"/>
      <c r="Q55" s="990" t="s">
        <v>103</v>
      </c>
      <c r="R55" s="943"/>
      <c r="S55" s="289" t="s">
        <v>62</v>
      </c>
      <c r="T55" s="289" t="s">
        <v>101</v>
      </c>
      <c r="U55" s="240"/>
    </row>
    <row r="56" spans="1:22" ht="15.75" customHeight="1" x14ac:dyDescent="0.25">
      <c r="A56" s="240"/>
      <c r="B56" s="671" t="s">
        <v>106</v>
      </c>
      <c r="C56" s="671"/>
      <c r="D56" s="89">
        <v>-0.25</v>
      </c>
      <c r="E56" s="250"/>
      <c r="F56" s="627" t="s">
        <v>121</v>
      </c>
      <c r="G56" s="628"/>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71" t="s">
        <v>111</v>
      </c>
      <c r="C57" s="671"/>
      <c r="D57" s="89">
        <v>-0.5</v>
      </c>
      <c r="E57" s="252"/>
      <c r="F57" s="627" t="s">
        <v>125</v>
      </c>
      <c r="G57" s="628"/>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25" t="s">
        <v>115</v>
      </c>
      <c r="C58" s="926"/>
      <c r="D58" s="926"/>
      <c r="E58" s="253"/>
      <c r="F58" s="627" t="s">
        <v>129</v>
      </c>
      <c r="G58" s="628"/>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69" t="s">
        <v>190</v>
      </c>
      <c r="C59" s="670"/>
      <c r="D59" s="670"/>
      <c r="E59" s="251"/>
      <c r="F59" s="627" t="s">
        <v>131</v>
      </c>
      <c r="G59" s="628"/>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69"/>
      <c r="C60" s="670"/>
      <c r="D60" s="670"/>
      <c r="E60" s="251"/>
      <c r="F60" s="627" t="s">
        <v>133</v>
      </c>
      <c r="G60" s="628"/>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69"/>
      <c r="C61" s="670"/>
      <c r="D61" s="670"/>
      <c r="E61" s="254"/>
      <c r="F61" s="627" t="s">
        <v>136</v>
      </c>
      <c r="G61" s="628"/>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69"/>
      <c r="C62" s="670"/>
      <c r="D62" s="670"/>
      <c r="E62" s="255"/>
      <c r="F62" s="627" t="s">
        <v>138</v>
      </c>
      <c r="G62" s="628"/>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69"/>
      <c r="C63" s="670"/>
      <c r="D63" s="670"/>
      <c r="E63" s="255"/>
      <c r="F63" s="627" t="s">
        <v>141</v>
      </c>
      <c r="G63" s="628"/>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69"/>
      <c r="C64" s="670"/>
      <c r="D64" s="670"/>
      <c r="E64" s="251"/>
      <c r="F64" s="934" t="s">
        <v>143</v>
      </c>
      <c r="G64" s="935"/>
      <c r="H64" s="935"/>
      <c r="I64" s="935"/>
      <c r="J64" s="935"/>
      <c r="K64" s="935"/>
      <c r="L64" s="935"/>
      <c r="M64" s="935"/>
      <c r="N64" s="935"/>
      <c r="O64" s="936"/>
      <c r="P64" s="246"/>
      <c r="Q64" s="90" t="s">
        <v>195</v>
      </c>
      <c r="R64" s="93">
        <v>100</v>
      </c>
      <c r="S64" s="52" t="s">
        <v>53</v>
      </c>
      <c r="T64" s="95">
        <v>0</v>
      </c>
      <c r="U64" s="240"/>
      <c r="V64" s="3"/>
    </row>
    <row r="65" spans="1:35" ht="15.75" customHeight="1" x14ac:dyDescent="0.25">
      <c r="A65" s="240"/>
      <c r="B65" s="669"/>
      <c r="C65" s="670"/>
      <c r="D65" s="670"/>
      <c r="E65" s="251"/>
      <c r="F65" s="627" t="s">
        <v>145</v>
      </c>
      <c r="G65" s="628"/>
      <c r="H65" s="21">
        <v>-0.25</v>
      </c>
      <c r="I65" s="21">
        <v>-0.25</v>
      </c>
      <c r="J65" s="21">
        <v>-0.25</v>
      </c>
      <c r="K65" s="21">
        <v>-0.375</v>
      </c>
      <c r="L65" s="21">
        <v>-0.5</v>
      </c>
      <c r="M65" s="21">
        <v>-0.5</v>
      </c>
      <c r="N65" s="21">
        <v>-0.5</v>
      </c>
      <c r="O65" s="22" t="s">
        <v>642</v>
      </c>
      <c r="P65" s="240"/>
      <c r="Q65" s="989" t="s">
        <v>134</v>
      </c>
      <c r="R65" s="989"/>
      <c r="S65" s="52" t="s">
        <v>140</v>
      </c>
      <c r="T65" s="95">
        <v>-0.5</v>
      </c>
      <c r="U65" s="240"/>
      <c r="V65" s="3"/>
    </row>
    <row r="66" spans="1:35" ht="15.75" customHeight="1" x14ac:dyDescent="0.25">
      <c r="A66" s="240"/>
      <c r="B66" s="669"/>
      <c r="C66" s="670"/>
      <c r="D66" s="670"/>
      <c r="E66" s="256"/>
      <c r="F66" s="627" t="s">
        <v>196</v>
      </c>
      <c r="G66" s="628"/>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69"/>
      <c r="C67" s="670"/>
      <c r="D67" s="670"/>
      <c r="E67" s="257"/>
      <c r="F67" s="627" t="s">
        <v>151</v>
      </c>
      <c r="G67" s="628"/>
      <c r="H67" s="21">
        <v>-0.25</v>
      </c>
      <c r="I67" s="21">
        <v>-0.25</v>
      </c>
      <c r="J67" s="21">
        <v>-0.25</v>
      </c>
      <c r="K67" s="21">
        <v>-0.25</v>
      </c>
      <c r="L67" s="21">
        <v>-0.25</v>
      </c>
      <c r="M67" s="21">
        <v>-0.5</v>
      </c>
      <c r="N67" s="21">
        <v>-0.5</v>
      </c>
      <c r="O67" s="22">
        <v>-0.5</v>
      </c>
      <c r="P67" s="240"/>
      <c r="Q67" s="990" t="s">
        <v>139</v>
      </c>
      <c r="R67" s="943"/>
      <c r="S67" s="52" t="s">
        <v>144</v>
      </c>
      <c r="T67" s="95">
        <v>-0.5</v>
      </c>
      <c r="U67" s="240"/>
      <c r="V67" s="3"/>
    </row>
    <row r="68" spans="1:35" x14ac:dyDescent="0.25">
      <c r="A68" s="240"/>
      <c r="B68" s="669"/>
      <c r="C68" s="670"/>
      <c r="D68" s="670"/>
      <c r="E68" s="251"/>
      <c r="F68" s="627" t="s">
        <v>157</v>
      </c>
      <c r="G68" s="628"/>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63" t="s">
        <v>153</v>
      </c>
      <c r="C69" s="964"/>
      <c r="D69" s="964"/>
      <c r="E69" s="256"/>
      <c r="F69" s="627" t="s">
        <v>160</v>
      </c>
      <c r="G69" s="628"/>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87" t="s">
        <v>156</v>
      </c>
      <c r="C70" s="988"/>
      <c r="D70" s="988"/>
      <c r="E70" s="258"/>
      <c r="F70" s="627" t="s">
        <v>69</v>
      </c>
      <c r="G70" s="628"/>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25" t="s">
        <v>159</v>
      </c>
      <c r="C71" s="926"/>
      <c r="D71" s="926"/>
      <c r="E71" s="259"/>
      <c r="F71" s="934" t="s">
        <v>33</v>
      </c>
      <c r="G71" s="935"/>
      <c r="H71" s="935"/>
      <c r="I71" s="935"/>
      <c r="J71" s="935"/>
      <c r="K71" s="935"/>
      <c r="L71" s="935"/>
      <c r="M71" s="935"/>
      <c r="N71" s="935"/>
      <c r="O71" s="936"/>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48" t="s">
        <v>162</v>
      </c>
      <c r="C72" s="668"/>
      <c r="D72" s="668"/>
      <c r="E72" s="259"/>
      <c r="F72" s="627" t="s">
        <v>34</v>
      </c>
      <c r="G72" s="628"/>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68"/>
      <c r="C73" s="668"/>
      <c r="D73" s="668"/>
      <c r="E73" s="259"/>
      <c r="F73" s="627" t="s">
        <v>166</v>
      </c>
      <c r="G73" s="628"/>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68"/>
      <c r="C74" s="668"/>
      <c r="D74" s="668"/>
      <c r="E74" s="259"/>
      <c r="F74" s="627" t="s">
        <v>168</v>
      </c>
      <c r="G74" s="628"/>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68"/>
      <c r="C75" s="668"/>
      <c r="D75" s="668"/>
      <c r="E75" s="259"/>
      <c r="F75" s="627" t="s">
        <v>169</v>
      </c>
      <c r="G75" s="628"/>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86"/>
      <c r="C76" s="986"/>
      <c r="D76" s="986"/>
      <c r="E76" s="259"/>
      <c r="F76" s="627" t="s">
        <v>170</v>
      </c>
      <c r="G76" s="628"/>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34" t="s">
        <v>36</v>
      </c>
      <c r="G77" s="935"/>
      <c r="H77" s="935"/>
      <c r="I77" s="935"/>
      <c r="J77" s="935"/>
      <c r="K77" s="935"/>
      <c r="L77" s="935"/>
      <c r="M77" s="935"/>
      <c r="N77" s="935"/>
      <c r="O77" s="936"/>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27" t="s">
        <v>171</v>
      </c>
      <c r="G78" s="628"/>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27" t="s">
        <v>172</v>
      </c>
      <c r="G79" s="628"/>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86"/>
      <c r="C80" s="986"/>
      <c r="D80" s="986"/>
      <c r="E80" s="259"/>
      <c r="F80" s="627" t="s">
        <v>173</v>
      </c>
      <c r="G80" s="628"/>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27" t="s">
        <v>174</v>
      </c>
      <c r="G81" s="628"/>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67"/>
      <c r="C87" s="667"/>
      <c r="D87" s="73"/>
      <c r="E87" s="73"/>
      <c r="F87" s="106"/>
      <c r="G87" s="106"/>
      <c r="H87" s="108"/>
      <c r="I87" s="108"/>
      <c r="J87" s="108"/>
      <c r="K87" s="108"/>
      <c r="L87" s="108"/>
      <c r="M87" s="108"/>
      <c r="N87" s="108"/>
      <c r="O87" s="108"/>
      <c r="Q87" s="3"/>
      <c r="R87" s="3"/>
    </row>
    <row r="88" spans="1:21" ht="15" customHeight="1" x14ac:dyDescent="0.25">
      <c r="B88" s="667"/>
      <c r="C88" s="667"/>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1019" t="s">
        <v>890</v>
      </c>
      <c r="B1" s="1020"/>
      <c r="C1" s="1020"/>
      <c r="D1" s="1021"/>
      <c r="E1" s="482"/>
    </row>
    <row r="2" spans="1:16" ht="15" customHeight="1" thickBot="1" x14ac:dyDescent="0.3">
      <c r="A2" s="1029" t="s">
        <v>770</v>
      </c>
      <c r="B2" s="1030"/>
      <c r="C2" s="1030"/>
      <c r="D2" s="1031"/>
      <c r="F2" s="1015" t="s">
        <v>748</v>
      </c>
      <c r="G2" s="1016"/>
      <c r="H2" s="1007" t="s">
        <v>741</v>
      </c>
      <c r="I2" s="1008"/>
      <c r="K2" s="447"/>
      <c r="L2" s="737"/>
      <c r="M2" s="737"/>
      <c r="O2" s="445"/>
      <c r="P2" s="444"/>
    </row>
    <row r="3" spans="1:16" x14ac:dyDescent="0.25">
      <c r="A3" s="463" t="s">
        <v>837</v>
      </c>
      <c r="B3" s="463" t="s">
        <v>838</v>
      </c>
      <c r="C3" s="463" t="s">
        <v>839</v>
      </c>
      <c r="D3" s="463" t="s">
        <v>840</v>
      </c>
      <c r="F3" s="1017"/>
      <c r="G3" s="1018"/>
      <c r="H3" s="1011" t="s">
        <v>746</v>
      </c>
      <c r="I3" s="1012"/>
      <c r="K3" s="447"/>
      <c r="L3" s="738"/>
      <c r="M3" s="738"/>
      <c r="O3" s="445"/>
      <c r="P3" s="444"/>
    </row>
    <row r="4" spans="1:16" ht="15.75" thickBot="1" x14ac:dyDescent="0.3">
      <c r="A4" s="463" t="s">
        <v>841</v>
      </c>
      <c r="B4" s="463" t="s">
        <v>842</v>
      </c>
      <c r="C4" s="463" t="s">
        <v>843</v>
      </c>
      <c r="D4" s="463" t="s">
        <v>844</v>
      </c>
      <c r="F4" s="1017"/>
      <c r="G4" s="1018"/>
      <c r="H4" s="1013"/>
      <c r="I4" s="1014"/>
      <c r="K4" s="447"/>
      <c r="L4" s="738"/>
      <c r="M4" s="738"/>
      <c r="O4" s="445"/>
      <c r="P4" s="444"/>
    </row>
    <row r="5" spans="1:16" ht="15.75" thickBot="1" x14ac:dyDescent="0.3">
      <c r="A5" s="463" t="s">
        <v>845</v>
      </c>
      <c r="B5" s="463" t="s">
        <v>846</v>
      </c>
      <c r="C5" s="463" t="s">
        <v>847</v>
      </c>
      <c r="D5" s="463" t="s">
        <v>848</v>
      </c>
      <c r="F5" s="995" t="s">
        <v>749</v>
      </c>
      <c r="G5" s="999"/>
      <c r="H5" s="1007" t="s">
        <v>742</v>
      </c>
      <c r="I5" s="1008"/>
      <c r="K5" s="447"/>
      <c r="L5" s="737"/>
      <c r="M5" s="737"/>
    </row>
    <row r="6" spans="1:16" ht="15" customHeight="1" x14ac:dyDescent="0.25">
      <c r="A6" s="463" t="s">
        <v>849</v>
      </c>
      <c r="B6" s="463" t="s">
        <v>850</v>
      </c>
      <c r="C6" s="463" t="s">
        <v>851</v>
      </c>
      <c r="D6" s="463" t="s">
        <v>852</v>
      </c>
      <c r="F6" s="1000"/>
      <c r="G6" s="999"/>
      <c r="H6" s="1011" t="s">
        <v>744</v>
      </c>
      <c r="I6" s="1012"/>
      <c r="K6" s="448"/>
      <c r="L6" s="738"/>
      <c r="M6" s="738"/>
      <c r="O6" s="444"/>
    </row>
    <row r="7" spans="1:16" x14ac:dyDescent="0.25">
      <c r="A7" s="463" t="s">
        <v>853</v>
      </c>
      <c r="B7" s="463" t="s">
        <v>854</v>
      </c>
      <c r="C7" s="463" t="s">
        <v>836</v>
      </c>
      <c r="D7" s="463" t="s">
        <v>855</v>
      </c>
      <c r="F7" s="995" t="s">
        <v>750</v>
      </c>
      <c r="G7" s="999"/>
      <c r="H7" s="995"/>
      <c r="I7" s="996"/>
      <c r="K7" s="448"/>
      <c r="L7" s="738"/>
      <c r="M7" s="738"/>
      <c r="O7" s="444"/>
    </row>
    <row r="8" spans="1:16" ht="15.75" thickBot="1" x14ac:dyDescent="0.3">
      <c r="A8" s="463" t="s">
        <v>856</v>
      </c>
      <c r="B8" s="463" t="s">
        <v>857</v>
      </c>
      <c r="C8" s="463" t="s">
        <v>858</v>
      </c>
      <c r="D8" s="463" t="s">
        <v>859</v>
      </c>
      <c r="F8" s="1000"/>
      <c r="G8" s="999"/>
      <c r="H8" s="1013"/>
      <c r="I8" s="1014"/>
      <c r="L8" s="738"/>
      <c r="M8" s="738"/>
      <c r="O8" s="444"/>
    </row>
    <row r="9" spans="1:16" ht="15" customHeight="1" thickBot="1" x14ac:dyDescent="0.3">
      <c r="A9" s="463" t="s">
        <v>860</v>
      </c>
      <c r="B9" s="463" t="s">
        <v>861</v>
      </c>
      <c r="C9" s="463" t="s">
        <v>862</v>
      </c>
      <c r="D9" s="463" t="s">
        <v>863</v>
      </c>
      <c r="F9" s="995" t="s">
        <v>751</v>
      </c>
      <c r="G9" s="996"/>
      <c r="H9" s="1007" t="s">
        <v>743</v>
      </c>
      <c r="I9" s="1008"/>
      <c r="K9" s="448"/>
      <c r="L9" s="737"/>
      <c r="M9" s="737"/>
    </row>
    <row r="10" spans="1:16" ht="15.75" thickBot="1" x14ac:dyDescent="0.3">
      <c r="A10" s="463" t="s">
        <v>864</v>
      </c>
      <c r="B10" s="463" t="s">
        <v>865</v>
      </c>
      <c r="C10" s="463" t="s">
        <v>866</v>
      </c>
      <c r="D10" s="463" t="s">
        <v>867</v>
      </c>
      <c r="F10" s="995"/>
      <c r="G10" s="996"/>
      <c r="H10" s="1009" t="s">
        <v>745</v>
      </c>
      <c r="I10" s="1010"/>
      <c r="K10" s="448"/>
      <c r="L10" s="739"/>
      <c r="M10" s="739"/>
    </row>
    <row r="11" spans="1:16" x14ac:dyDescent="0.25">
      <c r="A11" s="463" t="s">
        <v>868</v>
      </c>
      <c r="B11" s="463" t="s">
        <v>869</v>
      </c>
      <c r="C11" s="463" t="s">
        <v>870</v>
      </c>
      <c r="D11" s="478"/>
      <c r="F11" s="995" t="s">
        <v>752</v>
      </c>
      <c r="G11" s="999"/>
      <c r="I11" s="446"/>
    </row>
    <row r="12" spans="1:16" ht="15" customHeight="1" x14ac:dyDescent="0.25">
      <c r="A12" s="463" t="s">
        <v>871</v>
      </c>
      <c r="B12" s="463" t="s">
        <v>872</v>
      </c>
      <c r="C12" s="463" t="s">
        <v>873</v>
      </c>
      <c r="D12" s="478"/>
      <c r="F12" s="1000"/>
      <c r="G12" s="999"/>
      <c r="H12" s="448"/>
      <c r="I12" s="448"/>
      <c r="J12" s="448"/>
      <c r="K12" s="448"/>
    </row>
    <row r="13" spans="1:16" ht="15.75" thickBot="1" x14ac:dyDescent="0.3">
      <c r="A13" s="464"/>
      <c r="B13" s="464"/>
      <c r="C13" s="464"/>
      <c r="D13" s="464"/>
      <c r="F13" s="1005"/>
      <c r="G13" s="1006"/>
      <c r="H13" s="448"/>
      <c r="I13" s="448"/>
      <c r="K13" s="448"/>
    </row>
    <row r="14" spans="1:16" ht="15.75" customHeight="1" thickBot="1" x14ac:dyDescent="0.3">
      <c r="A14" s="1022" t="s">
        <v>771</v>
      </c>
      <c r="B14" s="1023"/>
      <c r="C14" s="1023"/>
      <c r="D14" s="1024"/>
    </row>
    <row r="15" spans="1:16" ht="15.75" customHeight="1" thickBot="1" x14ac:dyDescent="0.3">
      <c r="A15" s="1025" t="s">
        <v>889</v>
      </c>
      <c r="B15" s="1026"/>
      <c r="C15" s="463" t="s">
        <v>874</v>
      </c>
      <c r="D15" s="463" t="s">
        <v>875</v>
      </c>
      <c r="F15" s="1001" t="s">
        <v>747</v>
      </c>
      <c r="G15" s="1002"/>
      <c r="H15" s="481"/>
      <c r="I15" s="481"/>
      <c r="J15" s="446"/>
      <c r="K15" s="446"/>
    </row>
    <row r="16" spans="1:16" ht="48.75" customHeight="1" x14ac:dyDescent="0.25">
      <c r="A16" s="1027"/>
      <c r="B16" s="1028"/>
      <c r="C16" s="463" t="s">
        <v>876</v>
      </c>
      <c r="D16" s="463" t="s">
        <v>877</v>
      </c>
      <c r="F16" s="1003" t="s">
        <v>753</v>
      </c>
      <c r="G16" s="1004"/>
      <c r="H16" s="481"/>
      <c r="I16" s="481"/>
      <c r="J16" s="448"/>
    </row>
    <row r="17" spans="1:16" ht="15" customHeight="1" x14ac:dyDescent="0.25">
      <c r="A17" s="464"/>
      <c r="B17" s="464"/>
      <c r="C17" s="464"/>
      <c r="D17" s="464"/>
      <c r="F17" s="1000"/>
      <c r="G17" s="999"/>
      <c r="H17" s="481"/>
      <c r="I17" s="481"/>
      <c r="J17" s="448"/>
      <c r="K17" s="448"/>
      <c r="L17" s="448"/>
      <c r="M17" s="448"/>
      <c r="P17" s="444"/>
    </row>
    <row r="18" spans="1:16" ht="15" customHeight="1" x14ac:dyDescent="0.25">
      <c r="A18" s="1022" t="s">
        <v>772</v>
      </c>
      <c r="B18" s="1023"/>
      <c r="C18" s="1023"/>
      <c r="D18" s="1024"/>
      <c r="F18" s="1000"/>
      <c r="G18" s="999"/>
      <c r="H18" s="481"/>
      <c r="I18" s="481"/>
      <c r="J18" s="448"/>
      <c r="K18" s="448"/>
      <c r="L18" s="448"/>
      <c r="M18" s="448"/>
      <c r="P18" s="444"/>
    </row>
    <row r="19" spans="1:16" x14ac:dyDescent="0.25">
      <c r="A19" s="465" t="s">
        <v>62</v>
      </c>
      <c r="B19" s="466" t="s">
        <v>878</v>
      </c>
      <c r="C19" s="467" t="s">
        <v>879</v>
      </c>
      <c r="D19" s="479" t="s">
        <v>773</v>
      </c>
      <c r="F19" s="1000"/>
      <c r="G19" s="999"/>
      <c r="H19" s="481"/>
      <c r="I19" s="481"/>
      <c r="J19" s="448"/>
      <c r="K19" s="448"/>
      <c r="L19" s="448"/>
      <c r="M19" s="448"/>
      <c r="P19" s="444"/>
    </row>
    <row r="20" spans="1:16" ht="75" x14ac:dyDescent="0.25">
      <c r="A20" s="463" t="s">
        <v>824</v>
      </c>
      <c r="B20" s="480" t="s">
        <v>825</v>
      </c>
      <c r="C20" s="463" t="s">
        <v>826</v>
      </c>
      <c r="D20" s="463" t="s">
        <v>827</v>
      </c>
      <c r="F20" s="1000"/>
      <c r="G20" s="999"/>
      <c r="H20" s="481"/>
      <c r="I20" s="481"/>
      <c r="J20" s="448"/>
      <c r="K20" s="448"/>
      <c r="L20" s="448"/>
      <c r="M20" s="448"/>
      <c r="P20" s="444"/>
    </row>
    <row r="21" spans="1:16" ht="75" x14ac:dyDescent="0.25">
      <c r="A21" s="463" t="s">
        <v>880</v>
      </c>
      <c r="B21" s="463" t="s">
        <v>828</v>
      </c>
      <c r="C21" s="480" t="s">
        <v>685</v>
      </c>
      <c r="D21" s="463" t="s">
        <v>684</v>
      </c>
      <c r="F21" s="995" t="s">
        <v>754</v>
      </c>
      <c r="G21" s="999"/>
      <c r="H21" s="481"/>
      <c r="I21" s="481"/>
      <c r="J21" s="448"/>
      <c r="K21" s="448"/>
      <c r="L21" s="448"/>
      <c r="M21" s="448"/>
    </row>
    <row r="22" spans="1:16" x14ac:dyDescent="0.25">
      <c r="A22" s="463" t="s">
        <v>881</v>
      </c>
      <c r="B22" s="463" t="s">
        <v>882</v>
      </c>
      <c r="C22" s="463" t="s">
        <v>832</v>
      </c>
      <c r="D22" s="463" t="s">
        <v>684</v>
      </c>
      <c r="F22" s="1000"/>
      <c r="G22" s="999"/>
      <c r="H22" s="481"/>
      <c r="I22" s="481"/>
      <c r="P22" s="444"/>
    </row>
    <row r="23" spans="1:16" ht="29.25" customHeight="1" x14ac:dyDescent="0.25">
      <c r="A23" s="463" t="s">
        <v>883</v>
      </c>
      <c r="B23" s="463" t="s">
        <v>829</v>
      </c>
      <c r="C23" s="463" t="s">
        <v>826</v>
      </c>
      <c r="D23" s="463" t="s">
        <v>678</v>
      </c>
      <c r="F23" s="1000"/>
      <c r="G23" s="999"/>
      <c r="H23" s="481"/>
      <c r="I23" s="481"/>
      <c r="J23" s="448"/>
      <c r="K23" s="448"/>
      <c r="L23" s="448"/>
      <c r="M23" s="448"/>
      <c r="P23" s="444"/>
    </row>
    <row r="24" spans="1:16" ht="31.5" customHeight="1" x14ac:dyDescent="0.25">
      <c r="A24" s="463" t="s">
        <v>884</v>
      </c>
      <c r="B24" s="463" t="s">
        <v>830</v>
      </c>
      <c r="C24" s="463" t="s">
        <v>833</v>
      </c>
      <c r="D24" s="463" t="s">
        <v>834</v>
      </c>
      <c r="F24" s="1000"/>
      <c r="G24" s="999"/>
      <c r="H24" s="481"/>
      <c r="I24" s="481"/>
      <c r="J24" s="448"/>
      <c r="K24" s="448"/>
      <c r="L24" s="448"/>
      <c r="M24" s="448"/>
      <c r="P24" s="444"/>
    </row>
    <row r="25" spans="1:16" ht="45" x14ac:dyDescent="0.25">
      <c r="A25" s="463" t="s">
        <v>885</v>
      </c>
      <c r="B25" s="480" t="s">
        <v>831</v>
      </c>
      <c r="C25" s="463" t="s">
        <v>826</v>
      </c>
      <c r="D25" s="463" t="s">
        <v>835</v>
      </c>
      <c r="F25" s="1000"/>
      <c r="G25" s="999"/>
      <c r="H25" s="481"/>
      <c r="I25" s="481"/>
      <c r="J25" s="448"/>
      <c r="K25" s="448"/>
      <c r="L25" s="448"/>
      <c r="M25" s="448"/>
      <c r="P25" s="444"/>
    </row>
    <row r="26" spans="1:16" x14ac:dyDescent="0.25">
      <c r="A26" s="463" t="s">
        <v>886</v>
      </c>
      <c r="B26" s="463" t="s">
        <v>887</v>
      </c>
      <c r="C26" s="463" t="s">
        <v>888</v>
      </c>
      <c r="D26" s="463" t="s">
        <v>684</v>
      </c>
      <c r="F26" s="995" t="s">
        <v>755</v>
      </c>
      <c r="G26" s="996"/>
      <c r="H26" s="448"/>
      <c r="I26" s="448"/>
      <c r="J26" s="448"/>
      <c r="K26" s="448"/>
      <c r="L26" s="448"/>
      <c r="M26" s="448"/>
      <c r="P26" s="444"/>
    </row>
    <row r="27" spans="1:16" x14ac:dyDescent="0.25">
      <c r="A27"/>
      <c r="B27"/>
      <c r="C27"/>
      <c r="D27"/>
      <c r="F27" s="995"/>
      <c r="G27" s="996"/>
      <c r="H27" s="448"/>
      <c r="I27" s="448"/>
      <c r="J27" s="448"/>
      <c r="K27" s="448"/>
      <c r="L27" s="448"/>
      <c r="M27" s="448"/>
    </row>
    <row r="28" spans="1:16" ht="53.25" customHeight="1" x14ac:dyDescent="0.25">
      <c r="A28"/>
      <c r="B28"/>
      <c r="C28"/>
      <c r="D28"/>
      <c r="F28" s="995"/>
      <c r="G28" s="996"/>
    </row>
    <row r="29" spans="1:16" ht="97.5" customHeight="1" thickBot="1" x14ac:dyDescent="0.3">
      <c r="A29"/>
      <c r="B29"/>
      <c r="C29"/>
      <c r="D29"/>
      <c r="F29" s="997" t="s">
        <v>756</v>
      </c>
      <c r="G29" s="998"/>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2026-06-19T13:50:47Z</cp:lastPrinted>
  <dcterms:created xsi:type="dcterms:W3CDTF">2025-07-31T15:53:00Z</dcterms:created>
  <dcterms:modified xsi:type="dcterms:W3CDTF">2026-06-19T13:51:08Z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